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tonzolete/Desktop/Felipe SP/Agrese 2022 /CONSCENSUL ALTERADO /"/>
    </mc:Choice>
  </mc:AlternateContent>
  <xr:revisionPtr revIDLastSave="0" documentId="13_ncr:1_{B0720ABA-49EE-8B4B-A9B5-838258D7DC35}" xr6:coauthVersionLast="45" xr6:coauthVersionMax="47" xr10:uidLastSave="{00000000-0000-0000-0000-000000000000}"/>
  <bookViews>
    <workbookView xWindow="0" yWindow="0" windowWidth="28800" windowHeight="18000" tabRatio="961" firstSheet="5" activeTab="15" xr2:uid="{00000000-000D-0000-FFFF-FFFF00000000}"/>
  </bookViews>
  <sheets>
    <sheet name="Invest. em Pre e Implantação" sheetId="2" r:id="rId1"/>
    <sheet name="Reinvestimento" sheetId="9" r:id="rId2"/>
    <sheet name="Encerramento e Monitoramento" sheetId="10" r:id="rId3"/>
    <sheet name="Gravimetria" sheetId="3" r:id="rId4"/>
    <sheet name="Receitas" sheetId="4" r:id="rId5"/>
    <sheet name="Pessoal" sheetId="17" r:id="rId6"/>
    <sheet name="Encargos sociais" sheetId="18" r:id="rId7"/>
    <sheet name="Custos de Operação" sheetId="6" r:id="rId8"/>
    <sheet name="Impostos" sheetId="11" r:id="rId9"/>
    <sheet name="Depreciação" sheetId="12" r:id="rId10"/>
    <sheet name="Fin. BNB" sheetId="14" state="hidden" r:id="rId11"/>
    <sheet name="DRE" sheetId="7" r:id="rId12"/>
    <sheet name="Capital de Giro" sheetId="15" r:id="rId13"/>
    <sheet name="Fluxo de Caixa" sheetId="13" r:id="rId14"/>
    <sheet name="Custo de Capital" sheetId="16" r:id="rId15"/>
    <sheet name="Indicadores de rentabilidade" sheetId="8" r:id="rId16"/>
    <sheet name="Planilha1" sheetId="19" r:id="rId17"/>
  </sheets>
  <externalReferences>
    <externalReference r:id="rId18"/>
    <externalReference r:id="rId19"/>
    <externalReference r:id="rId20"/>
  </externalReferences>
  <definedNames>
    <definedName name="CONNUTRI">#REF!</definedName>
    <definedName name="CONSOLIDADO___BANCO_DO_NORDESTE">#REF!</definedName>
    <definedName name="Monte_Tabor_Centro_Ítalo_Brasileiro_de_Promoção_Sanitária">#REF!</definedName>
    <definedName name="ONCOLOGIA_CLÍNICA">#REF!</definedName>
    <definedName name="PNEUMOLOGIA">#REF!</definedName>
    <definedName name="QuantitativoPessoal">#REF!</definedName>
    <definedName name="RENÚNCIA_DE_RECEITAS">#REF!</definedName>
    <definedName name="Retorno">#REF!</definedName>
    <definedName name="UROLOGIA">#REF!</definedName>
    <definedName name="Volta">#REF!</definedName>
    <definedName name="YURI_MASCARENHAS___NEUROCIRURGIÃ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7" l="1"/>
  <c r="D8" i="17" l="1"/>
  <c r="B29" i="6" l="1"/>
  <c r="B26" i="6"/>
  <c r="C31" i="17"/>
  <c r="C29" i="17"/>
  <c r="C28" i="17"/>
  <c r="C27" i="17"/>
  <c r="C26" i="17"/>
  <c r="C10" i="17"/>
  <c r="C11" i="17"/>
  <c r="C16" i="17"/>
  <c r="C13" i="17"/>
  <c r="C18" i="17"/>
  <c r="C15" i="17"/>
  <c r="C12" i="17"/>
  <c r="C8" i="17"/>
  <c r="E8" i="4"/>
  <c r="E7" i="4"/>
  <c r="C14" i="17" l="1"/>
  <c r="C17" i="17"/>
  <c r="C9" i="17"/>
  <c r="B6" i="6"/>
  <c r="E5" i="4"/>
  <c r="F13" i="10"/>
  <c r="F10" i="10"/>
  <c r="F9" i="10"/>
  <c r="F38" i="9"/>
  <c r="F39" i="9"/>
  <c r="F40" i="9"/>
  <c r="F37" i="9"/>
  <c r="F34" i="9"/>
  <c r="F33" i="9"/>
  <c r="F32" i="9"/>
  <c r="F31" i="9"/>
  <c r="F30" i="9"/>
  <c r="F11" i="9"/>
  <c r="F12" i="9"/>
  <c r="F13" i="9"/>
  <c r="F14" i="9"/>
  <c r="F10" i="9"/>
  <c r="F9" i="9"/>
  <c r="F20" i="9"/>
  <c r="F21" i="9"/>
  <c r="F22" i="9"/>
  <c r="F23" i="9"/>
  <c r="F24" i="9"/>
  <c r="F25" i="9"/>
  <c r="F26" i="9"/>
  <c r="F19" i="9"/>
  <c r="E16" i="9"/>
  <c r="F16" i="9" s="1"/>
  <c r="E15" i="9"/>
  <c r="F15" i="9" s="1"/>
  <c r="F29" i="9" l="1"/>
  <c r="F36" i="9"/>
  <c r="F18" i="9"/>
  <c r="F8" i="9"/>
  <c r="I9" i="9" l="1"/>
  <c r="I10" i="9"/>
  <c r="K6" i="2"/>
  <c r="I6" i="2"/>
  <c r="F132" i="2"/>
  <c r="F128" i="2"/>
  <c r="F124" i="2"/>
  <c r="F123" i="2"/>
  <c r="F122" i="2"/>
  <c r="F121" i="2"/>
  <c r="F120" i="2"/>
  <c r="F119" i="2"/>
  <c r="E116" i="2"/>
  <c r="F116" i="2" s="1"/>
  <c r="F115" i="2"/>
  <c r="F114" i="2"/>
  <c r="F113" i="2"/>
  <c r="F112" i="2"/>
  <c r="F111" i="2"/>
  <c r="F108" i="2"/>
  <c r="F107" i="2"/>
  <c r="F106" i="2"/>
  <c r="F105" i="2"/>
  <c r="F104" i="2"/>
  <c r="F103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E83" i="2"/>
  <c r="F83" i="2" s="1"/>
  <c r="F82" i="2"/>
  <c r="E78" i="2"/>
  <c r="D78" i="2"/>
  <c r="E77" i="2"/>
  <c r="D77" i="2"/>
  <c r="F77" i="2" s="1"/>
  <c r="F76" i="2"/>
  <c r="D75" i="2"/>
  <c r="F75" i="2" s="1"/>
  <c r="D74" i="2"/>
  <c r="F74" i="2" s="1"/>
  <c r="F73" i="2"/>
  <c r="D73" i="2"/>
  <c r="E72" i="2"/>
  <c r="D72" i="2"/>
  <c r="E71" i="2"/>
  <c r="F71" i="2" s="1"/>
  <c r="D71" i="2"/>
  <c r="E70" i="2"/>
  <c r="F70" i="2" s="1"/>
  <c r="D70" i="2"/>
  <c r="D69" i="2"/>
  <c r="D68" i="2"/>
  <c r="F68" i="2" s="1"/>
  <c r="D67" i="2"/>
  <c r="F66" i="2"/>
  <c r="D65" i="2"/>
  <c r="F65" i="2" s="1"/>
  <c r="D64" i="2"/>
  <c r="F64" i="2" s="1"/>
  <c r="D63" i="2"/>
  <c r="F63" i="2" s="1"/>
  <c r="D62" i="2"/>
  <c r="F62" i="2" s="1"/>
  <c r="D61" i="2"/>
  <c r="F61" i="2" s="1"/>
  <c r="D59" i="2"/>
  <c r="F59" i="2" s="1"/>
  <c r="F55" i="2"/>
  <c r="F54" i="2"/>
  <c r="F53" i="2"/>
  <c r="F52" i="2"/>
  <c r="F49" i="2"/>
  <c r="F48" i="2" s="1"/>
  <c r="F46" i="2"/>
  <c r="F45" i="2"/>
  <c r="F44" i="2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F15" i="2"/>
  <c r="F14" i="2"/>
  <c r="F13" i="2"/>
  <c r="F12" i="2"/>
  <c r="F11" i="2"/>
  <c r="F10" i="2"/>
  <c r="F9" i="2"/>
  <c r="F8" i="2"/>
  <c r="I19" i="9"/>
  <c r="F7" i="2" l="1"/>
  <c r="F25" i="2"/>
  <c r="D60" i="2"/>
  <c r="F60" i="2" s="1"/>
  <c r="F43" i="2"/>
  <c r="F51" i="2"/>
  <c r="E67" i="2"/>
  <c r="F67" i="2" s="1"/>
  <c r="F72" i="2"/>
  <c r="F78" i="2"/>
  <c r="F110" i="2"/>
  <c r="F118" i="2"/>
  <c r="F102" i="2"/>
  <c r="F93" i="2"/>
  <c r="F81" i="2"/>
  <c r="F17" i="2"/>
  <c r="F69" i="2"/>
  <c r="F58" i="2" l="1"/>
  <c r="E127" i="2" s="1"/>
  <c r="F127" i="2" s="1"/>
  <c r="F126" i="2" s="1"/>
  <c r="F6" i="2"/>
  <c r="F80" i="2"/>
  <c r="B24" i="6" s="1"/>
  <c r="E131" i="2" l="1"/>
  <c r="F131" i="2" s="1"/>
  <c r="F130" i="2" s="1"/>
  <c r="F57" i="2" s="1"/>
  <c r="B31" i="6"/>
  <c r="B30" i="6"/>
  <c r="B28" i="6"/>
  <c r="B27" i="6"/>
  <c r="B25" i="6"/>
  <c r="B23" i="6"/>
  <c r="B12" i="6"/>
  <c r="B13" i="6"/>
  <c r="B14" i="6"/>
  <c r="B15" i="6"/>
  <c r="B17" i="6"/>
  <c r="B18" i="6"/>
  <c r="B10" i="6"/>
  <c r="B9" i="6"/>
  <c r="B8" i="6"/>
  <c r="B7" i="6"/>
  <c r="B31" i="17"/>
  <c r="B30" i="17"/>
  <c r="B29" i="17"/>
  <c r="B18" i="17"/>
  <c r="B17" i="17"/>
  <c r="B16" i="17"/>
  <c r="B15" i="17"/>
  <c r="B14" i="17"/>
  <c r="B11" i="17"/>
  <c r="B13" i="17"/>
  <c r="B10" i="17"/>
  <c r="B9" i="17"/>
  <c r="B12" i="17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D174" i="3"/>
  <c r="D177" i="3" s="1"/>
  <c r="E174" i="3"/>
  <c r="E177" i="3" s="1"/>
  <c r="F174" i="3"/>
  <c r="F177" i="3" s="1"/>
  <c r="G174" i="3"/>
  <c r="H174" i="3"/>
  <c r="I174" i="3"/>
  <c r="I177" i="3" s="1"/>
  <c r="J174" i="3"/>
  <c r="J177" i="3" s="1"/>
  <c r="K174" i="3"/>
  <c r="K177" i="3" s="1"/>
  <c r="L174" i="3"/>
  <c r="L177" i="3" s="1"/>
  <c r="M174" i="3"/>
  <c r="M177" i="3" s="1"/>
  <c r="N174" i="3"/>
  <c r="N177" i="3" s="1"/>
  <c r="O174" i="3"/>
  <c r="O177" i="3" s="1"/>
  <c r="P174" i="3"/>
  <c r="P177" i="3" s="1"/>
  <c r="Q174" i="3"/>
  <c r="Q177" i="3" s="1"/>
  <c r="R174" i="3"/>
  <c r="R177" i="3" s="1"/>
  <c r="S174" i="3"/>
  <c r="S177" i="3" s="1"/>
  <c r="T174" i="3"/>
  <c r="U174" i="3"/>
  <c r="U177" i="3" s="1"/>
  <c r="V174" i="3"/>
  <c r="V177" i="3" s="1"/>
  <c r="W174" i="3"/>
  <c r="W177" i="3" s="1"/>
  <c r="X174" i="3"/>
  <c r="X177" i="3" s="1"/>
  <c r="Y174" i="3"/>
  <c r="Y177" i="3" s="1"/>
  <c r="Z174" i="3"/>
  <c r="Z177" i="3" s="1"/>
  <c r="AA174" i="3"/>
  <c r="AA177" i="3" s="1"/>
  <c r="AB174" i="3"/>
  <c r="AB177" i="3" s="1"/>
  <c r="AC174" i="3"/>
  <c r="AC177" i="3" s="1"/>
  <c r="G177" i="3"/>
  <c r="H177" i="3"/>
  <c r="T177" i="3"/>
  <c r="E61" i="3"/>
  <c r="C81" i="3"/>
  <c r="I81" i="3" s="1"/>
  <c r="C57" i="3"/>
  <c r="I57" i="3" s="1"/>
  <c r="C58" i="3"/>
  <c r="I58" i="3" s="1"/>
  <c r="C59" i="3"/>
  <c r="I59" i="3" s="1"/>
  <c r="C60" i="3"/>
  <c r="I60" i="3" s="1"/>
  <c r="C61" i="3"/>
  <c r="I61" i="3" s="1"/>
  <c r="C62" i="3"/>
  <c r="I62" i="3" s="1"/>
  <c r="C63" i="3"/>
  <c r="I63" i="3" s="1"/>
  <c r="C64" i="3"/>
  <c r="I64" i="3" s="1"/>
  <c r="C65" i="3"/>
  <c r="I65" i="3" s="1"/>
  <c r="C66" i="3"/>
  <c r="E66" i="3" s="1"/>
  <c r="C67" i="3"/>
  <c r="I67" i="3" s="1"/>
  <c r="C68" i="3"/>
  <c r="I68" i="3" s="1"/>
  <c r="C69" i="3"/>
  <c r="I69" i="3" s="1"/>
  <c r="C70" i="3"/>
  <c r="I70" i="3" s="1"/>
  <c r="C71" i="3"/>
  <c r="I71" i="3" s="1"/>
  <c r="C72" i="3"/>
  <c r="I72" i="3" s="1"/>
  <c r="C73" i="3"/>
  <c r="I73" i="3" s="1"/>
  <c r="C74" i="3"/>
  <c r="I74" i="3" s="1"/>
  <c r="C75" i="3"/>
  <c r="I75" i="3" s="1"/>
  <c r="C76" i="3"/>
  <c r="I76" i="3" s="1"/>
  <c r="C77" i="3"/>
  <c r="I77" i="3" s="1"/>
  <c r="C78" i="3"/>
  <c r="I78" i="3" s="1"/>
  <c r="C79" i="3"/>
  <c r="I79" i="3" s="1"/>
  <c r="C80" i="3"/>
  <c r="I80" i="3" s="1"/>
  <c r="C56" i="3"/>
  <c r="I56" i="3" s="1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D117" i="3"/>
  <c r="E117" i="3"/>
  <c r="C117" i="3"/>
  <c r="C112" i="3"/>
  <c r="D112" i="3"/>
  <c r="E112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E87" i="3"/>
  <c r="D87" i="3"/>
  <c r="C8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17" i="3"/>
  <c r="B102" i="3"/>
  <c r="B103" i="3"/>
  <c r="B104" i="3"/>
  <c r="B105" i="3"/>
  <c r="B106" i="3"/>
  <c r="B107" i="3"/>
  <c r="B108" i="3"/>
  <c r="B109" i="3"/>
  <c r="B110" i="3"/>
  <c r="B111" i="3"/>
  <c r="B112" i="3"/>
  <c r="B96" i="3"/>
  <c r="B97" i="3"/>
  <c r="B98" i="3"/>
  <c r="B99" i="3"/>
  <c r="B100" i="3"/>
  <c r="B101" i="3"/>
  <c r="B88" i="3"/>
  <c r="B89" i="3"/>
  <c r="B90" i="3"/>
  <c r="B91" i="3"/>
  <c r="B92" i="3"/>
  <c r="B93" i="3"/>
  <c r="B94" i="3"/>
  <c r="B95" i="3"/>
  <c r="B87" i="3"/>
  <c r="E71" i="3" l="1"/>
  <c r="E77" i="3"/>
  <c r="I66" i="3"/>
  <c r="E70" i="3"/>
  <c r="E56" i="3"/>
  <c r="E75" i="3"/>
  <c r="E65" i="3"/>
  <c r="E59" i="3"/>
  <c r="E79" i="3"/>
  <c r="E74" i="3"/>
  <c r="E69" i="3"/>
  <c r="E63" i="3"/>
  <c r="E58" i="3"/>
  <c r="E78" i="3"/>
  <c r="E73" i="3"/>
  <c r="E67" i="3"/>
  <c r="E62" i="3"/>
  <c r="E57" i="3"/>
  <c r="E81" i="3"/>
  <c r="E80" i="3"/>
  <c r="E76" i="3"/>
  <c r="E72" i="3"/>
  <c r="E68" i="3"/>
  <c r="E64" i="3"/>
  <c r="E60" i="3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C16" i="6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B11" i="6"/>
  <c r="C31" i="6"/>
  <c r="D31" i="6" s="1"/>
  <c r="E31" i="6" s="1"/>
  <c r="F31" i="6" s="1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Y31" i="6" s="1"/>
  <c r="Z31" i="6" s="1"/>
  <c r="AA31" i="6" s="1"/>
  <c r="C30" i="6"/>
  <c r="D30" i="6" s="1"/>
  <c r="E30" i="6" s="1"/>
  <c r="F30" i="6" s="1"/>
  <c r="G30" i="6" s="1"/>
  <c r="H30" i="6" s="1"/>
  <c r="I30" i="6" s="1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C27" i="6"/>
  <c r="D27" i="6" s="1"/>
  <c r="E27" i="6" s="1"/>
  <c r="F27" i="6" s="1"/>
  <c r="G27" i="6" s="1"/>
  <c r="H27" i="6" s="1"/>
  <c r="I27" i="6" s="1"/>
  <c r="J27" i="6" s="1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C28" i="6"/>
  <c r="D28" i="6" s="1"/>
  <c r="E28" i="6" s="1"/>
  <c r="F28" i="6" s="1"/>
  <c r="G28" i="6" s="1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Y28" i="6" s="1"/>
  <c r="Z28" i="6" s="1"/>
  <c r="AA28" i="6" s="1"/>
  <c r="C29" i="6"/>
  <c r="D29" i="6" s="1"/>
  <c r="E29" i="6" s="1"/>
  <c r="F29" i="6" s="1"/>
  <c r="G29" i="6" s="1"/>
  <c r="H29" i="6" s="1"/>
  <c r="I29" i="6" s="1"/>
  <c r="J29" i="6" s="1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D27" i="4"/>
  <c r="F27" i="4" s="1"/>
  <c r="C4" i="14" l="1"/>
  <c r="D28" i="4" l="1"/>
  <c r="C26" i="6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C25" i="6"/>
  <c r="D25" i="6" s="1"/>
  <c r="E25" i="6" s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C23" i="6"/>
  <c r="D23" i="6" s="1"/>
  <c r="E23" i="6" s="1"/>
  <c r="F23" i="6" s="1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C18" i="6"/>
  <c r="D18" i="6" s="1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C13" i="6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C11" i="6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C10" i="6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C8" i="6"/>
  <c r="D8" i="6" s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C7" i="6"/>
  <c r="D7" i="6" s="1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B20" i="6"/>
  <c r="B82" i="17"/>
  <c r="C30" i="17"/>
  <c r="B28" i="17"/>
  <c r="B27" i="17"/>
  <c r="B26" i="17"/>
  <c r="F23" i="17"/>
  <c r="E23" i="17"/>
  <c r="B23" i="17"/>
  <c r="D4" i="17"/>
  <c r="C4" i="17"/>
  <c r="I26" i="9"/>
  <c r="I25" i="9"/>
  <c r="C49" i="18"/>
  <c r="C50" i="18" s="1"/>
  <c r="C53" i="18" s="1"/>
  <c r="C43" i="18"/>
  <c r="C20" i="18"/>
  <c r="C21" i="18" s="1"/>
  <c r="C24" i="18" s="1"/>
  <c r="C14" i="18"/>
  <c r="B32" i="17" l="1"/>
  <c r="I28" i="4"/>
  <c r="G5" i="7" s="1"/>
  <c r="M28" i="4"/>
  <c r="K5" i="7" s="1"/>
  <c r="Q28" i="4"/>
  <c r="O5" i="7" s="1"/>
  <c r="U28" i="4"/>
  <c r="S5" i="7" s="1"/>
  <c r="Y28" i="4"/>
  <c r="W5" i="7" s="1"/>
  <c r="AC28" i="4"/>
  <c r="AA5" i="7" s="1"/>
  <c r="K28" i="4"/>
  <c r="I5" i="7" s="1"/>
  <c r="S28" i="4"/>
  <c r="Q5" i="7" s="1"/>
  <c r="AA28" i="4"/>
  <c r="Y5" i="7" s="1"/>
  <c r="J28" i="4"/>
  <c r="H5" i="7" s="1"/>
  <c r="N28" i="4"/>
  <c r="L5" i="7" s="1"/>
  <c r="R28" i="4"/>
  <c r="P5" i="7" s="1"/>
  <c r="V28" i="4"/>
  <c r="T5" i="7" s="1"/>
  <c r="Z28" i="4"/>
  <c r="X5" i="7" s="1"/>
  <c r="AD28" i="4"/>
  <c r="AB5" i="7" s="1"/>
  <c r="G28" i="4"/>
  <c r="E5" i="7" s="1"/>
  <c r="O28" i="4"/>
  <c r="M5" i="7" s="1"/>
  <c r="W28" i="4"/>
  <c r="U5" i="7" s="1"/>
  <c r="F28" i="4"/>
  <c r="D5" i="7" s="1"/>
  <c r="H28" i="4"/>
  <c r="F5" i="7" s="1"/>
  <c r="P28" i="4"/>
  <c r="N5" i="7" s="1"/>
  <c r="AB28" i="4"/>
  <c r="Z5" i="7" s="1"/>
  <c r="L28" i="4"/>
  <c r="J5" i="7" s="1"/>
  <c r="T28" i="4"/>
  <c r="R5" i="7" s="1"/>
  <c r="X28" i="4"/>
  <c r="V5" i="7" s="1"/>
  <c r="B19" i="17"/>
  <c r="B34" i="17" s="1"/>
  <c r="D31" i="17"/>
  <c r="E31" i="17" s="1"/>
  <c r="F31" i="17" s="1"/>
  <c r="D12" i="17"/>
  <c r="E12" i="17" s="1"/>
  <c r="F12" i="17" s="1"/>
  <c r="C6" i="6"/>
  <c r="D16" i="17"/>
  <c r="E16" i="17" s="1"/>
  <c r="F16" i="17" s="1"/>
  <c r="D30" i="17"/>
  <c r="E30" i="17" s="1"/>
  <c r="F30" i="17" s="1"/>
  <c r="E8" i="17"/>
  <c r="D9" i="17"/>
  <c r="E9" i="17" s="1"/>
  <c r="F9" i="17" s="1"/>
  <c r="D11" i="17"/>
  <c r="E11" i="17" s="1"/>
  <c r="F11" i="17" s="1"/>
  <c r="D13" i="17"/>
  <c r="E13" i="17" s="1"/>
  <c r="F13" i="17" s="1"/>
  <c r="D14" i="17"/>
  <c r="E14" i="17" s="1"/>
  <c r="F14" i="17" s="1"/>
  <c r="D15" i="17"/>
  <c r="E15" i="17" s="1"/>
  <c r="F15" i="17" s="1"/>
  <c r="D18" i="17"/>
  <c r="E18" i="17" s="1"/>
  <c r="F18" i="17" s="1"/>
  <c r="D26" i="17"/>
  <c r="E26" i="17" s="1"/>
  <c r="D27" i="17"/>
  <c r="E27" i="17" s="1"/>
  <c r="F27" i="17" s="1"/>
  <c r="D28" i="17"/>
  <c r="E28" i="17" s="1"/>
  <c r="F28" i="17" s="1"/>
  <c r="D29" i="17"/>
  <c r="E29" i="17" s="1"/>
  <c r="F29" i="17" s="1"/>
  <c r="D10" i="17"/>
  <c r="E10" i="17" s="1"/>
  <c r="F10" i="17" s="1"/>
  <c r="D17" i="17"/>
  <c r="E17" i="17" s="1"/>
  <c r="F17" i="17" s="1"/>
  <c r="C25" i="18"/>
  <c r="C54" i="18"/>
  <c r="C26" i="18"/>
  <c r="C55" i="18"/>
  <c r="AC8" i="15"/>
  <c r="AC9" i="15"/>
  <c r="B3" i="12" l="1"/>
  <c r="C20" i="6"/>
  <c r="D6" i="6"/>
  <c r="E19" i="17"/>
  <c r="F8" i="17"/>
  <c r="F19" i="17" s="1"/>
  <c r="E32" i="17"/>
  <c r="F26" i="17"/>
  <c r="F32" i="17" s="1"/>
  <c r="C56" i="18"/>
  <c r="C57" i="18" s="1"/>
  <c r="C27" i="18"/>
  <c r="C28" i="18" s="1"/>
  <c r="F26" i="16"/>
  <c r="F27" i="16" s="1"/>
  <c r="F22" i="16"/>
  <c r="F23" i="16" s="1"/>
  <c r="F12" i="16"/>
  <c r="F13" i="16" s="1"/>
  <c r="F15" i="16" s="1"/>
  <c r="E39" i="15"/>
  <c r="F39" i="15" s="1"/>
  <c r="B38" i="15"/>
  <c r="E36" i="15"/>
  <c r="F36" i="15" s="1"/>
  <c r="B35" i="15"/>
  <c r="E33" i="15"/>
  <c r="F33" i="15" s="1"/>
  <c r="B32" i="15"/>
  <c r="E30" i="15"/>
  <c r="B29" i="15"/>
  <c r="E24" i="15"/>
  <c r="F24" i="15" s="1"/>
  <c r="B23" i="15"/>
  <c r="E21" i="15"/>
  <c r="F21" i="15" s="1"/>
  <c r="B20" i="15"/>
  <c r="E18" i="15"/>
  <c r="F18" i="15" s="1"/>
  <c r="B17" i="15"/>
  <c r="E15" i="15"/>
  <c r="F15" i="15" s="1"/>
  <c r="B14" i="15"/>
  <c r="E12" i="15"/>
  <c r="F12" i="15" s="1"/>
  <c r="B11" i="15"/>
  <c r="I7" i="15"/>
  <c r="J7" i="15" s="1"/>
  <c r="F7" i="15"/>
  <c r="D10" i="11" l="1"/>
  <c r="D19" i="11"/>
  <c r="D11" i="11"/>
  <c r="D18" i="11"/>
  <c r="F18" i="16"/>
  <c r="F28" i="16" s="1"/>
  <c r="F34" i="17"/>
  <c r="E34" i="17"/>
  <c r="B84" i="17" s="1"/>
  <c r="C84" i="17" s="1"/>
  <c r="D84" i="17" s="1"/>
  <c r="E84" i="17" s="1"/>
  <c r="F84" i="17" s="1"/>
  <c r="G84" i="17" s="1"/>
  <c r="H84" i="17" s="1"/>
  <c r="I84" i="17" s="1"/>
  <c r="J84" i="17" s="1"/>
  <c r="K84" i="17" s="1"/>
  <c r="L84" i="17" s="1"/>
  <c r="M84" i="17" s="1"/>
  <c r="N84" i="17" s="1"/>
  <c r="O84" i="17" s="1"/>
  <c r="P84" i="17" s="1"/>
  <c r="Q84" i="17" s="1"/>
  <c r="R84" i="17" s="1"/>
  <c r="S84" i="17" s="1"/>
  <c r="T84" i="17" s="1"/>
  <c r="U84" i="17" s="1"/>
  <c r="V84" i="17" s="1"/>
  <c r="W84" i="17" s="1"/>
  <c r="X84" i="17" s="1"/>
  <c r="Y84" i="17" s="1"/>
  <c r="Z84" i="17" s="1"/>
  <c r="AA84" i="17" s="1"/>
  <c r="E10" i="11"/>
  <c r="E18" i="11"/>
  <c r="E11" i="11"/>
  <c r="E6" i="6"/>
  <c r="E19" i="11"/>
  <c r="D20" i="6"/>
  <c r="C24" i="6"/>
  <c r="F30" i="15"/>
  <c r="G18" i="15"/>
  <c r="H18" i="15" s="1"/>
  <c r="I18" i="15" s="1"/>
  <c r="G33" i="15"/>
  <c r="G39" i="15"/>
  <c r="G12" i="15"/>
  <c r="G15" i="15"/>
  <c r="G21" i="15"/>
  <c r="G36" i="15"/>
  <c r="G24" i="15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B2" i="12" l="1"/>
  <c r="F19" i="11"/>
  <c r="F18" i="11"/>
  <c r="F6" i="6"/>
  <c r="G11" i="11" s="1"/>
  <c r="E20" i="6"/>
  <c r="F11" i="11"/>
  <c r="F10" i="11"/>
  <c r="D24" i="6"/>
  <c r="F136" i="2"/>
  <c r="G30" i="15"/>
  <c r="H12" i="15"/>
  <c r="H21" i="15"/>
  <c r="H33" i="15"/>
  <c r="H24" i="15"/>
  <c r="H15" i="15"/>
  <c r="J18" i="15"/>
  <c r="H39" i="15"/>
  <c r="H36" i="15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D172" i="14"/>
  <c r="E10" i="13" s="1"/>
  <c r="C172" i="14"/>
  <c r="D10" i="13" s="1"/>
  <c r="A145" i="14"/>
  <c r="G5" i="14"/>
  <c r="O5" i="14"/>
  <c r="P5" i="14" s="1"/>
  <c r="O6" i="14" s="1"/>
  <c r="P6" i="14" s="1"/>
  <c r="O7" i="14" s="1"/>
  <c r="P7" i="14" s="1"/>
  <c r="O8" i="14" s="1"/>
  <c r="P8" i="14" s="1"/>
  <c r="O9" i="14" s="1"/>
  <c r="P9" i="14" s="1"/>
  <c r="O10" i="14" s="1"/>
  <c r="P10" i="14" s="1"/>
  <c r="O11" i="14" s="1"/>
  <c r="P11" i="14" s="1"/>
  <c r="O12" i="14" s="1"/>
  <c r="P12" i="14" s="1"/>
  <c r="O13" i="14" s="1"/>
  <c r="P13" i="14" s="1"/>
  <c r="O14" i="14" s="1"/>
  <c r="P14" i="14" s="1"/>
  <c r="O15" i="14" s="1"/>
  <c r="P15" i="14" s="1"/>
  <c r="O16" i="14" s="1"/>
  <c r="P16" i="14" s="1"/>
  <c r="O17" i="14" s="1"/>
  <c r="P17" i="14" s="1"/>
  <c r="O18" i="14" s="1"/>
  <c r="P18" i="14" s="1"/>
  <c r="O19" i="14" s="1"/>
  <c r="P19" i="14" s="1"/>
  <c r="O20" i="14" s="1"/>
  <c r="P20" i="14" s="1"/>
  <c r="O21" i="14" s="1"/>
  <c r="P21" i="14" s="1"/>
  <c r="O22" i="14" s="1"/>
  <c r="P22" i="14" s="1"/>
  <c r="O23" i="14" s="1"/>
  <c r="P23" i="14" s="1"/>
  <c r="O24" i="14" s="1"/>
  <c r="P24" i="14" s="1"/>
  <c r="O25" i="14" s="1"/>
  <c r="P25" i="14" s="1"/>
  <c r="O26" i="14" s="1"/>
  <c r="P26" i="14" s="1"/>
  <c r="O27" i="14" s="1"/>
  <c r="P27" i="14" s="1"/>
  <c r="O28" i="14" s="1"/>
  <c r="P28" i="14" s="1"/>
  <c r="O29" i="14" s="1"/>
  <c r="P29" i="14" s="1"/>
  <c r="O30" i="14" s="1"/>
  <c r="P30" i="14" s="1"/>
  <c r="O31" i="14" s="1"/>
  <c r="P31" i="14" s="1"/>
  <c r="O32" i="14" s="1"/>
  <c r="P32" i="14" s="1"/>
  <c r="O33" i="14" s="1"/>
  <c r="P33" i="14" s="1"/>
  <c r="O34" i="14" s="1"/>
  <c r="P34" i="14" s="1"/>
  <c r="O35" i="14" s="1"/>
  <c r="P35" i="14" s="1"/>
  <c r="O36" i="14" s="1"/>
  <c r="P36" i="14" s="1"/>
  <c r="O37" i="14" s="1"/>
  <c r="P37" i="14" s="1"/>
  <c r="O38" i="14" s="1"/>
  <c r="P38" i="14" s="1"/>
  <c r="O39" i="14" s="1"/>
  <c r="P39" i="14" s="1"/>
  <c r="O40" i="14" s="1"/>
  <c r="P40" i="14" s="1"/>
  <c r="D11" i="14"/>
  <c r="J11" i="14" s="1"/>
  <c r="K11" i="14"/>
  <c r="L11" i="14"/>
  <c r="D12" i="14"/>
  <c r="H12" i="14"/>
  <c r="K12" i="14"/>
  <c r="L12" i="14"/>
  <c r="D13" i="14"/>
  <c r="H13" i="14"/>
  <c r="K13" i="14"/>
  <c r="L13" i="14"/>
  <c r="H14" i="14"/>
  <c r="L14" i="14"/>
  <c r="D15" i="14"/>
  <c r="H15" i="14"/>
  <c r="K15" i="14"/>
  <c r="L15" i="14"/>
  <c r="D16" i="14"/>
  <c r="H16" i="14"/>
  <c r="K16" i="14"/>
  <c r="L16" i="14"/>
  <c r="H17" i="14"/>
  <c r="L17" i="14"/>
  <c r="D18" i="14"/>
  <c r="H18" i="14"/>
  <c r="K18" i="14"/>
  <c r="L18" i="14"/>
  <c r="D19" i="14"/>
  <c r="H19" i="14"/>
  <c r="K19" i="14"/>
  <c r="L19" i="14"/>
  <c r="H20" i="14"/>
  <c r="L20" i="14"/>
  <c r="D21" i="14"/>
  <c r="H21" i="14"/>
  <c r="K21" i="14"/>
  <c r="L21" i="14"/>
  <c r="D22" i="14"/>
  <c r="H22" i="14"/>
  <c r="K22" i="14"/>
  <c r="L22" i="14"/>
  <c r="H23" i="14"/>
  <c r="L23" i="14"/>
  <c r="D24" i="14"/>
  <c r="H24" i="14"/>
  <c r="K24" i="14"/>
  <c r="L24" i="14"/>
  <c r="D25" i="14"/>
  <c r="H25" i="14"/>
  <c r="K25" i="14"/>
  <c r="L25" i="14"/>
  <c r="H26" i="14"/>
  <c r="L26" i="14"/>
  <c r="D27" i="14"/>
  <c r="H27" i="14"/>
  <c r="K27" i="14"/>
  <c r="L27" i="14"/>
  <c r="D28" i="14"/>
  <c r="H28" i="14"/>
  <c r="K28" i="14"/>
  <c r="L28" i="14"/>
  <c r="H29" i="14"/>
  <c r="L29" i="14"/>
  <c r="D30" i="14"/>
  <c r="H30" i="14"/>
  <c r="K30" i="14"/>
  <c r="L30" i="14"/>
  <c r="D31" i="14"/>
  <c r="H31" i="14"/>
  <c r="K31" i="14"/>
  <c r="L31" i="14"/>
  <c r="H32" i="14"/>
  <c r="L32" i="14"/>
  <c r="D33" i="14"/>
  <c r="H33" i="14"/>
  <c r="K33" i="14"/>
  <c r="L33" i="14"/>
  <c r="D34" i="14"/>
  <c r="H34" i="14"/>
  <c r="K34" i="14"/>
  <c r="L34" i="14"/>
  <c r="H35" i="14"/>
  <c r="L35" i="14"/>
  <c r="H36" i="14"/>
  <c r="S36" i="14"/>
  <c r="S35" i="14" s="1"/>
  <c r="S42" i="14" s="1"/>
  <c r="S43" i="14" s="1"/>
  <c r="S45" i="14" s="1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L132" i="14"/>
  <c r="D133" i="14"/>
  <c r="H133" i="14"/>
  <c r="K133" i="14"/>
  <c r="L133" i="14"/>
  <c r="D134" i="14"/>
  <c r="H134" i="14"/>
  <c r="K134" i="14"/>
  <c r="L134" i="14"/>
  <c r="D135" i="14"/>
  <c r="H135" i="14"/>
  <c r="K135" i="14"/>
  <c r="L135" i="14"/>
  <c r="D136" i="14"/>
  <c r="H136" i="14"/>
  <c r="K136" i="14"/>
  <c r="L136" i="14"/>
  <c r="D137" i="14"/>
  <c r="H137" i="14"/>
  <c r="K137" i="14"/>
  <c r="L137" i="14"/>
  <c r="D138" i="14"/>
  <c r="H138" i="14"/>
  <c r="K138" i="14"/>
  <c r="L138" i="14"/>
  <c r="D139" i="14"/>
  <c r="H139" i="14"/>
  <c r="K139" i="14"/>
  <c r="L139" i="14"/>
  <c r="D140" i="14"/>
  <c r="H140" i="14"/>
  <c r="K140" i="14"/>
  <c r="L140" i="14"/>
  <c r="D141" i="14"/>
  <c r="H141" i="14"/>
  <c r="K141" i="14"/>
  <c r="L141" i="14"/>
  <c r="D142" i="14"/>
  <c r="H142" i="14"/>
  <c r="K142" i="14"/>
  <c r="L142" i="14"/>
  <c r="D143" i="14"/>
  <c r="H143" i="14"/>
  <c r="K143" i="14"/>
  <c r="L143" i="14"/>
  <c r="F145" i="14"/>
  <c r="G145" i="14"/>
  <c r="O170" i="14"/>
  <c r="F20" i="6" l="1"/>
  <c r="G130" i="2"/>
  <c r="J143" i="14"/>
  <c r="J142" i="14"/>
  <c r="J141" i="14"/>
  <c r="J140" i="14"/>
  <c r="J139" i="14"/>
  <c r="J138" i="14"/>
  <c r="J137" i="14"/>
  <c r="J136" i="14"/>
  <c r="J135" i="14"/>
  <c r="J134" i="14"/>
  <c r="J133" i="14"/>
  <c r="J31" i="14"/>
  <c r="J30" i="14"/>
  <c r="J25" i="14"/>
  <c r="J24" i="14"/>
  <c r="J19" i="14"/>
  <c r="J18" i="14"/>
  <c r="J13" i="14"/>
  <c r="J12" i="14"/>
  <c r="J34" i="14"/>
  <c r="J33" i="14"/>
  <c r="J28" i="14"/>
  <c r="J27" i="14"/>
  <c r="J22" i="14"/>
  <c r="J21" i="14"/>
  <c r="J16" i="14"/>
  <c r="J15" i="14"/>
  <c r="H145" i="14"/>
  <c r="G118" i="2"/>
  <c r="G126" i="2"/>
  <c r="G80" i="2"/>
  <c r="G110" i="2"/>
  <c r="G83" i="2"/>
  <c r="G87" i="2"/>
  <c r="G91" i="2"/>
  <c r="G96" i="2"/>
  <c r="G100" i="2"/>
  <c r="G105" i="2"/>
  <c r="G58" i="2"/>
  <c r="G75" i="2"/>
  <c r="G71" i="2"/>
  <c r="G67" i="2"/>
  <c r="G63" i="2"/>
  <c r="G59" i="2"/>
  <c r="G54" i="2"/>
  <c r="G46" i="2"/>
  <c r="G40" i="2"/>
  <c r="G36" i="2"/>
  <c r="G32" i="2"/>
  <c r="G28" i="2"/>
  <c r="G22" i="2"/>
  <c r="G18" i="2"/>
  <c r="G12" i="2"/>
  <c r="G92" i="2"/>
  <c r="G106" i="2"/>
  <c r="G70" i="2"/>
  <c r="G15" i="2"/>
  <c r="G86" i="2"/>
  <c r="G90" i="2"/>
  <c r="G95" i="2"/>
  <c r="G99" i="2"/>
  <c r="G104" i="2"/>
  <c r="G108" i="2"/>
  <c r="G76" i="2"/>
  <c r="G72" i="2"/>
  <c r="G68" i="2"/>
  <c r="G64" i="2"/>
  <c r="G60" i="2"/>
  <c r="G55" i="2"/>
  <c r="G49" i="2"/>
  <c r="G41" i="2"/>
  <c r="G37" i="2"/>
  <c r="G33" i="2"/>
  <c r="G29" i="2"/>
  <c r="G23" i="2"/>
  <c r="G19" i="2"/>
  <c r="G13" i="2"/>
  <c r="G9" i="2"/>
  <c r="G84" i="2"/>
  <c r="G101" i="2"/>
  <c r="G74" i="2"/>
  <c r="G62" i="2"/>
  <c r="G45" i="2"/>
  <c r="G35" i="2"/>
  <c r="G27" i="2"/>
  <c r="G11" i="2"/>
  <c r="G85" i="2"/>
  <c r="G89" i="2"/>
  <c r="G94" i="2"/>
  <c r="G98" i="2"/>
  <c r="G103" i="2"/>
  <c r="G107" i="2"/>
  <c r="G77" i="2"/>
  <c r="G73" i="2"/>
  <c r="G69" i="2"/>
  <c r="G65" i="2"/>
  <c r="G61" i="2"/>
  <c r="G52" i="2"/>
  <c r="G44" i="2"/>
  <c r="G38" i="2"/>
  <c r="G34" i="2"/>
  <c r="G30" i="2"/>
  <c r="G26" i="2"/>
  <c r="G20" i="2"/>
  <c r="G14" i="2"/>
  <c r="G10" i="2"/>
  <c r="G88" i="2"/>
  <c r="G97" i="2"/>
  <c r="G78" i="2"/>
  <c r="G66" i="2"/>
  <c r="G53" i="2"/>
  <c r="G39" i="2"/>
  <c r="G31" i="2"/>
  <c r="G21" i="2"/>
  <c r="G82" i="2"/>
  <c r="G6" i="6"/>
  <c r="H11" i="11" s="1"/>
  <c r="G19" i="11"/>
  <c r="G18" i="11"/>
  <c r="G10" i="11"/>
  <c r="E24" i="6"/>
  <c r="G132" i="2"/>
  <c r="G124" i="2"/>
  <c r="G123" i="2"/>
  <c r="G122" i="2"/>
  <c r="G121" i="2"/>
  <c r="G120" i="2"/>
  <c r="G119" i="2"/>
  <c r="G111" i="2"/>
  <c r="G8" i="2"/>
  <c r="G112" i="2"/>
  <c r="G116" i="2"/>
  <c r="G115" i="2"/>
  <c r="G114" i="2"/>
  <c r="G128" i="2"/>
  <c r="G113" i="2"/>
  <c r="G127" i="2"/>
  <c r="G131" i="2"/>
  <c r="H30" i="15"/>
  <c r="I36" i="15"/>
  <c r="I24" i="15"/>
  <c r="I39" i="15"/>
  <c r="I33" i="15"/>
  <c r="K18" i="15"/>
  <c r="I15" i="15"/>
  <c r="I21" i="15"/>
  <c r="I12" i="15"/>
  <c r="R40" i="14"/>
  <c r="O41" i="14"/>
  <c r="P41" i="14" s="1"/>
  <c r="O42" i="14" s="1"/>
  <c r="P42" i="14" s="1"/>
  <c r="O43" i="14" s="1"/>
  <c r="P43" i="14" s="1"/>
  <c r="O44" i="14" s="1"/>
  <c r="P44" i="14" s="1"/>
  <c r="O45" i="14" s="1"/>
  <c r="P45" i="14" s="1"/>
  <c r="O46" i="14" s="1"/>
  <c r="P46" i="14" s="1"/>
  <c r="O47" i="14" s="1"/>
  <c r="P47" i="14" s="1"/>
  <c r="O48" i="14" s="1"/>
  <c r="P48" i="14" s="1"/>
  <c r="O49" i="14" s="1"/>
  <c r="P49" i="14" s="1"/>
  <c r="O50" i="14" s="1"/>
  <c r="P50" i="14" s="1"/>
  <c r="O51" i="14" s="1"/>
  <c r="P51" i="14" s="1"/>
  <c r="O52" i="14" s="1"/>
  <c r="P52" i="14" s="1"/>
  <c r="O53" i="14" s="1"/>
  <c r="P53" i="14" s="1"/>
  <c r="O54" i="14" s="1"/>
  <c r="P54" i="14" s="1"/>
  <c r="O55" i="14" s="1"/>
  <c r="P55" i="14" s="1"/>
  <c r="O56" i="14" s="1"/>
  <c r="P56" i="14" s="1"/>
  <c r="O57" i="14" s="1"/>
  <c r="P57" i="14" s="1"/>
  <c r="O58" i="14" s="1"/>
  <c r="P58" i="14" s="1"/>
  <c r="O59" i="14" s="1"/>
  <c r="P59" i="14" s="1"/>
  <c r="O60" i="14" s="1"/>
  <c r="P60" i="14" s="1"/>
  <c r="O61" i="14" s="1"/>
  <c r="P61" i="14" s="1"/>
  <c r="O62" i="14" s="1"/>
  <c r="P62" i="14" s="1"/>
  <c r="O63" i="14" s="1"/>
  <c r="P63" i="14" s="1"/>
  <c r="H10" i="11" l="1"/>
  <c r="G20" i="6"/>
  <c r="G6" i="2"/>
  <c r="H6" i="6"/>
  <c r="I10" i="11" s="1"/>
  <c r="H18" i="11"/>
  <c r="H19" i="11"/>
  <c r="F24" i="6"/>
  <c r="I30" i="15"/>
  <c r="J36" i="15"/>
  <c r="J21" i="15"/>
  <c r="J33" i="15"/>
  <c r="J39" i="15"/>
  <c r="J24" i="15"/>
  <c r="J15" i="15"/>
  <c r="J12" i="15"/>
  <c r="L18" i="15"/>
  <c r="M18" i="15" s="1"/>
  <c r="N18" i="15" s="1"/>
  <c r="O18" i="15" s="1"/>
  <c r="P18" i="15" s="1"/>
  <c r="Q18" i="15" s="1"/>
  <c r="R18" i="15" s="1"/>
  <c r="H20" i="6" l="1"/>
  <c r="I11" i="11"/>
  <c r="I6" i="6"/>
  <c r="J10" i="11" s="1"/>
  <c r="I18" i="11"/>
  <c r="I19" i="11"/>
  <c r="G24" i="6"/>
  <c r="S18" i="15"/>
  <c r="J30" i="15"/>
  <c r="K15" i="15"/>
  <c r="K24" i="15"/>
  <c r="K21" i="15"/>
  <c r="K36" i="15"/>
  <c r="K33" i="15"/>
  <c r="K12" i="15"/>
  <c r="K39" i="15"/>
  <c r="I20" i="6" l="1"/>
  <c r="J11" i="11"/>
  <c r="J6" i="6"/>
  <c r="K10" i="11" s="1"/>
  <c r="J19" i="11"/>
  <c r="J18" i="11"/>
  <c r="H24" i="6"/>
  <c r="T18" i="15"/>
  <c r="K30" i="15"/>
  <c r="L12" i="15"/>
  <c r="M12" i="15" s="1"/>
  <c r="N12" i="15" s="1"/>
  <c r="O12" i="15" s="1"/>
  <c r="P12" i="15" s="1"/>
  <c r="Q12" i="15" s="1"/>
  <c r="R12" i="15" s="1"/>
  <c r="S12" i="15" s="1"/>
  <c r="T12" i="15" s="1"/>
  <c r="L24" i="15"/>
  <c r="M24" i="15" s="1"/>
  <c r="N24" i="15" s="1"/>
  <c r="O24" i="15" s="1"/>
  <c r="P24" i="15" s="1"/>
  <c r="Q24" i="15" s="1"/>
  <c r="R24" i="15" s="1"/>
  <c r="S24" i="15" s="1"/>
  <c r="T24" i="15" s="1"/>
  <c r="L21" i="15"/>
  <c r="M21" i="15" s="1"/>
  <c r="N21" i="15" s="1"/>
  <c r="O21" i="15" s="1"/>
  <c r="P21" i="15" s="1"/>
  <c r="Q21" i="15" s="1"/>
  <c r="R21" i="15" s="1"/>
  <c r="S21" i="15" s="1"/>
  <c r="T21" i="15" s="1"/>
  <c r="L33" i="15"/>
  <c r="M33" i="15" s="1"/>
  <c r="N33" i="15" s="1"/>
  <c r="O33" i="15" s="1"/>
  <c r="P33" i="15" s="1"/>
  <c r="Q33" i="15" s="1"/>
  <c r="R33" i="15" s="1"/>
  <c r="S33" i="15" s="1"/>
  <c r="T33" i="15" s="1"/>
  <c r="U33" i="15" s="1"/>
  <c r="V33" i="15" s="1"/>
  <c r="W33" i="15" s="1"/>
  <c r="L39" i="15"/>
  <c r="M39" i="15" s="1"/>
  <c r="N39" i="15" s="1"/>
  <c r="O39" i="15" s="1"/>
  <c r="P39" i="15" s="1"/>
  <c r="Q39" i="15" s="1"/>
  <c r="R39" i="15" s="1"/>
  <c r="S39" i="15" s="1"/>
  <c r="T39" i="15" s="1"/>
  <c r="U39" i="15" s="1"/>
  <c r="V39" i="15" s="1"/>
  <c r="W39" i="15" s="1"/>
  <c r="L36" i="15"/>
  <c r="M36" i="15" s="1"/>
  <c r="N36" i="15" s="1"/>
  <c r="O36" i="15" s="1"/>
  <c r="P36" i="15" s="1"/>
  <c r="Q36" i="15" s="1"/>
  <c r="R36" i="15" s="1"/>
  <c r="S36" i="15" s="1"/>
  <c r="T36" i="15" s="1"/>
  <c r="U36" i="15" s="1"/>
  <c r="V36" i="15" s="1"/>
  <c r="W36" i="15" s="1"/>
  <c r="L15" i="15"/>
  <c r="M15" i="15" s="1"/>
  <c r="N15" i="15" s="1"/>
  <c r="O15" i="15" s="1"/>
  <c r="P15" i="15" s="1"/>
  <c r="Q15" i="15" s="1"/>
  <c r="R15" i="15" s="1"/>
  <c r="S15" i="15" s="1"/>
  <c r="T15" i="15" s="1"/>
  <c r="J20" i="6" l="1"/>
  <c r="K11" i="11"/>
  <c r="K6" i="6"/>
  <c r="K20" i="6" s="1"/>
  <c r="K19" i="11"/>
  <c r="K18" i="11"/>
  <c r="I24" i="6"/>
  <c r="X33" i="15"/>
  <c r="X39" i="15"/>
  <c r="X36" i="15"/>
  <c r="U24" i="15"/>
  <c r="U12" i="15"/>
  <c r="U18" i="15"/>
  <c r="U15" i="15"/>
  <c r="U21" i="15"/>
  <c r="L30" i="15"/>
  <c r="M30" i="15" s="1"/>
  <c r="N30" i="15" s="1"/>
  <c r="O30" i="15" s="1"/>
  <c r="P30" i="15" s="1"/>
  <c r="Q30" i="15" s="1"/>
  <c r="R30" i="15" s="1"/>
  <c r="S30" i="15" s="1"/>
  <c r="T30" i="15" s="1"/>
  <c r="U30" i="15" s="1"/>
  <c r="V30" i="15" s="1"/>
  <c r="W30" i="15" s="1"/>
  <c r="X30" i="15" s="1"/>
  <c r="L10" i="11" l="1"/>
  <c r="L11" i="11"/>
  <c r="L6" i="6"/>
  <c r="L20" i="6" s="1"/>
  <c r="L18" i="11"/>
  <c r="L19" i="11"/>
  <c r="J24" i="6"/>
  <c r="Y36" i="15"/>
  <c r="Y30" i="15"/>
  <c r="Y39" i="15"/>
  <c r="Y33" i="15"/>
  <c r="V21" i="15"/>
  <c r="V24" i="15"/>
  <c r="V15" i="15"/>
  <c r="V18" i="15"/>
  <c r="V12" i="15"/>
  <c r="M10" i="11" l="1"/>
  <c r="M11" i="11"/>
  <c r="M6" i="6"/>
  <c r="M20" i="6" s="1"/>
  <c r="M18" i="11"/>
  <c r="M19" i="11"/>
  <c r="K24" i="6"/>
  <c r="Z39" i="15"/>
  <c r="Z30" i="15"/>
  <c r="Z33" i="15"/>
  <c r="Z36" i="15"/>
  <c r="W18" i="15"/>
  <c r="W24" i="15"/>
  <c r="W15" i="15"/>
  <c r="W12" i="15"/>
  <c r="W21" i="15"/>
  <c r="N6" i="6" l="1"/>
  <c r="O10" i="11" s="1"/>
  <c r="L24" i="6"/>
  <c r="AA30" i="15"/>
  <c r="AA33" i="15"/>
  <c r="AA39" i="15"/>
  <c r="AA36" i="15"/>
  <c r="X12" i="15"/>
  <c r="X15" i="15"/>
  <c r="X24" i="15"/>
  <c r="X21" i="15"/>
  <c r="X18" i="15"/>
  <c r="O11" i="11" l="1"/>
  <c r="N20" i="6"/>
  <c r="O6" i="6"/>
  <c r="P10" i="11" s="1"/>
  <c r="O19" i="11"/>
  <c r="O18" i="11"/>
  <c r="M24" i="6"/>
  <c r="AB39" i="15"/>
  <c r="AC39" i="15" s="1"/>
  <c r="AC38" i="15" s="1"/>
  <c r="AB33" i="15"/>
  <c r="AC33" i="15" s="1"/>
  <c r="AC32" i="15" s="1"/>
  <c r="AB30" i="15"/>
  <c r="AC30" i="15" s="1"/>
  <c r="AC29" i="15" s="1"/>
  <c r="AB36" i="15"/>
  <c r="AC36" i="15" s="1"/>
  <c r="AC35" i="15" s="1"/>
  <c r="Y21" i="15"/>
  <c r="Y24" i="15"/>
  <c r="Y15" i="15"/>
  <c r="Y18" i="15"/>
  <c r="Y12" i="15"/>
  <c r="O20" i="6" l="1"/>
  <c r="P11" i="11"/>
  <c r="AC41" i="15"/>
  <c r="P6" i="6"/>
  <c r="Q10" i="11" s="1"/>
  <c r="P19" i="11"/>
  <c r="P18" i="11"/>
  <c r="N24" i="6"/>
  <c r="Z15" i="15"/>
  <c r="Z18" i="15"/>
  <c r="Z24" i="15"/>
  <c r="Z12" i="15"/>
  <c r="Z21" i="15"/>
  <c r="P20" i="6" l="1"/>
  <c r="Q11" i="11"/>
  <c r="Q6" i="6"/>
  <c r="R10" i="11" s="1"/>
  <c r="Q18" i="11"/>
  <c r="Q19" i="11"/>
  <c r="O24" i="6"/>
  <c r="AA24" i="15"/>
  <c r="AA18" i="15"/>
  <c r="AA15" i="15"/>
  <c r="AA12" i="15"/>
  <c r="AA21" i="15"/>
  <c r="Q20" i="6" l="1"/>
  <c r="R11" i="11"/>
  <c r="R6" i="6"/>
  <c r="R20" i="6" s="1"/>
  <c r="R18" i="11"/>
  <c r="R19" i="11"/>
  <c r="P24" i="6"/>
  <c r="AB24" i="15"/>
  <c r="AC24" i="15" s="1"/>
  <c r="AC23" i="15" s="1"/>
  <c r="AB12" i="15"/>
  <c r="AC12" i="15" s="1"/>
  <c r="AC11" i="15" s="1"/>
  <c r="AB15" i="15"/>
  <c r="AC15" i="15" s="1"/>
  <c r="AC14" i="15" s="1"/>
  <c r="AB18" i="15"/>
  <c r="AC18" i="15" s="1"/>
  <c r="AC17" i="15" s="1"/>
  <c r="AB21" i="15"/>
  <c r="AC21" i="15" s="1"/>
  <c r="AC20" i="15" s="1"/>
  <c r="S11" i="11" l="1"/>
  <c r="AC26" i="15"/>
  <c r="AC45" i="15" s="1"/>
  <c r="S10" i="11"/>
  <c r="S6" i="6"/>
  <c r="T11" i="11" s="1"/>
  <c r="S19" i="11"/>
  <c r="S18" i="11"/>
  <c r="Q24" i="6"/>
  <c r="S20" i="6" l="1"/>
  <c r="T10" i="11"/>
  <c r="T6" i="6"/>
  <c r="U10" i="11" s="1"/>
  <c r="T19" i="11"/>
  <c r="T18" i="11"/>
  <c r="R24" i="6"/>
  <c r="T20" i="6" l="1"/>
  <c r="U11" i="11"/>
  <c r="U6" i="6"/>
  <c r="V10" i="11" s="1"/>
  <c r="U19" i="11"/>
  <c r="U18" i="11"/>
  <c r="S24" i="6"/>
  <c r="V11" i="11" l="1"/>
  <c r="U20" i="6"/>
  <c r="V6" i="6"/>
  <c r="W10" i="11" s="1"/>
  <c r="V18" i="11"/>
  <c r="V19" i="11"/>
  <c r="T24" i="6"/>
  <c r="V20" i="6" l="1"/>
  <c r="W11" i="11"/>
  <c r="W6" i="6"/>
  <c r="X10" i="11" s="1"/>
  <c r="W19" i="11"/>
  <c r="W18" i="11"/>
  <c r="U24" i="6"/>
  <c r="W20" i="6" l="1"/>
  <c r="X11" i="11"/>
  <c r="X6" i="6"/>
  <c r="X20" i="6" s="1"/>
  <c r="X19" i="11"/>
  <c r="X18" i="11"/>
  <c r="V24" i="6"/>
  <c r="Y10" i="11"/>
  <c r="Y11" i="11" l="1"/>
  <c r="Y6" i="6"/>
  <c r="Y20" i="6" s="1"/>
  <c r="Y18" i="11"/>
  <c r="Y19" i="11"/>
  <c r="W24" i="6"/>
  <c r="Z10" i="11" l="1"/>
  <c r="Z11" i="11"/>
  <c r="Z6" i="6"/>
  <c r="AA10" i="11" s="1"/>
  <c r="Z18" i="11"/>
  <c r="Z19" i="11"/>
  <c r="X24" i="6"/>
  <c r="AA11" i="11" l="1"/>
  <c r="Z20" i="6"/>
  <c r="AA6" i="6"/>
  <c r="AB11" i="11" s="1"/>
  <c r="AA19" i="11"/>
  <c r="AA18" i="11"/>
  <c r="Y24" i="6"/>
  <c r="AA20" i="6"/>
  <c r="AB10" i="11" l="1"/>
  <c r="AB19" i="11"/>
  <c r="AB18" i="11"/>
  <c r="Z24" i="6"/>
  <c r="AA24" i="6" l="1"/>
  <c r="C14" i="7" l="1"/>
  <c r="C4" i="13" s="1"/>
  <c r="C12" i="7"/>
  <c r="C17" i="11"/>
  <c r="C22" i="11" s="1"/>
  <c r="C8" i="11"/>
  <c r="C12" i="11" s="1"/>
  <c r="A30" i="11"/>
  <c r="C28" i="11"/>
  <c r="D28" i="11"/>
  <c r="C29" i="11"/>
  <c r="B29" i="11"/>
  <c r="B28" i="11"/>
  <c r="A29" i="11"/>
  <c r="A28" i="11"/>
  <c r="C21" i="11" l="1"/>
  <c r="C20" i="11"/>
  <c r="C14" i="11"/>
  <c r="C13" i="11"/>
  <c r="A9" i="4"/>
  <c r="J3" i="12"/>
  <c r="I3" i="12" l="1"/>
  <c r="F3" i="12"/>
  <c r="E3" i="12"/>
  <c r="N3" i="12"/>
  <c r="M3" i="12"/>
  <c r="L3" i="12"/>
  <c r="H3" i="12"/>
  <c r="K3" i="12"/>
  <c r="G3" i="12"/>
  <c r="C23" i="11"/>
  <c r="C15" i="11"/>
  <c r="C24" i="11" l="1"/>
  <c r="C10" i="7" s="1"/>
  <c r="C13" i="3"/>
  <c r="C11" i="3"/>
  <c r="C12" i="3"/>
  <c r="D14" i="10"/>
  <c r="F14" i="10" s="1"/>
  <c r="I14" i="9"/>
  <c r="I37" i="9"/>
  <c r="I12" i="9"/>
  <c r="I11" i="9"/>
  <c r="I40" i="9"/>
  <c r="I39" i="9"/>
  <c r="I38" i="9"/>
  <c r="I34" i="9"/>
  <c r="I33" i="9"/>
  <c r="I32" i="9"/>
  <c r="I31" i="9"/>
  <c r="I30" i="9"/>
  <c r="I24" i="9"/>
  <c r="I23" i="9"/>
  <c r="I22" i="9"/>
  <c r="I21" i="9"/>
  <c r="I20" i="9"/>
  <c r="I13" i="9"/>
  <c r="G50" i="3"/>
  <c r="I18" i="9" l="1"/>
  <c r="I16" i="9"/>
  <c r="F12" i="10"/>
  <c r="C32" i="6" s="1"/>
  <c r="I36" i="9"/>
  <c r="D32" i="6" l="1"/>
  <c r="B32" i="6"/>
  <c r="B33" i="6" s="1"/>
  <c r="B35" i="6" s="1"/>
  <c r="C33" i="6"/>
  <c r="C35" i="6" s="1"/>
  <c r="N19" i="11"/>
  <c r="N18" i="11"/>
  <c r="N11" i="11"/>
  <c r="N10" i="11"/>
  <c r="I8" i="9"/>
  <c r="B4" i="12" s="1"/>
  <c r="I15" i="9"/>
  <c r="I29" i="9"/>
  <c r="B5" i="12" s="1"/>
  <c r="F8" i="10"/>
  <c r="E32" i="6" l="1"/>
  <c r="D33" i="6"/>
  <c r="D35" i="6" s="1"/>
  <c r="C37" i="6"/>
  <c r="D9" i="7"/>
  <c r="F16" i="10"/>
  <c r="G9" i="10" s="1"/>
  <c r="J8" i="10"/>
  <c r="AB5" i="13" s="1"/>
  <c r="I8" i="10"/>
  <c r="F44" i="9"/>
  <c r="I44" i="9" s="1"/>
  <c r="O5" i="12"/>
  <c r="T5" i="12"/>
  <c r="U5" i="12"/>
  <c r="X5" i="12"/>
  <c r="S5" i="12"/>
  <c r="W5" i="12"/>
  <c r="V5" i="12"/>
  <c r="P5" i="12"/>
  <c r="Q5" i="12"/>
  <c r="R5" i="12"/>
  <c r="O4" i="12"/>
  <c r="Q4" i="12"/>
  <c r="S4" i="12"/>
  <c r="U4" i="12"/>
  <c r="W4" i="12"/>
  <c r="Y4" i="12"/>
  <c r="AA4" i="12"/>
  <c r="AC4" i="12"/>
  <c r="P4" i="12"/>
  <c r="R4" i="12"/>
  <c r="T4" i="12"/>
  <c r="V4" i="12"/>
  <c r="X4" i="12"/>
  <c r="Z4" i="12"/>
  <c r="AB4" i="12"/>
  <c r="G14" i="10" l="1"/>
  <c r="G13" i="10"/>
  <c r="F32" i="6"/>
  <c r="E33" i="6"/>
  <c r="E35" i="6" s="1"/>
  <c r="E9" i="7"/>
  <c r="D37" i="6"/>
  <c r="G10" i="10"/>
  <c r="G8" i="10" s="1"/>
  <c r="N5" i="13"/>
  <c r="G25" i="9"/>
  <c r="G26" i="9"/>
  <c r="G12" i="10" l="1"/>
  <c r="G16" i="10" s="1"/>
  <c r="G32" i="6"/>
  <c r="F33" i="6"/>
  <c r="F35" i="6" s="1"/>
  <c r="F9" i="7"/>
  <c r="E37" i="6"/>
  <c r="G24" i="9"/>
  <c r="G23" i="9"/>
  <c r="G22" i="9"/>
  <c r="G21" i="9"/>
  <c r="G20" i="9"/>
  <c r="G19" i="9"/>
  <c r="G14" i="9"/>
  <c r="G13" i="9"/>
  <c r="G10" i="9"/>
  <c r="G9" i="9"/>
  <c r="G11" i="9"/>
  <c r="G16" i="9"/>
  <c r="G31" i="9"/>
  <c r="G39" i="9"/>
  <c r="G15" i="9"/>
  <c r="G30" i="9"/>
  <c r="G34" i="9"/>
  <c r="G38" i="9"/>
  <c r="G33" i="9"/>
  <c r="G37" i="9"/>
  <c r="G12" i="9"/>
  <c r="G32" i="9"/>
  <c r="G40" i="9"/>
  <c r="H32" i="6" l="1"/>
  <c r="G33" i="6"/>
  <c r="G35" i="6" s="1"/>
  <c r="G9" i="7"/>
  <c r="F37" i="6"/>
  <c r="E2" i="12"/>
  <c r="E7" i="12" s="1"/>
  <c r="D14" i="7" s="1"/>
  <c r="D4" i="13" s="1"/>
  <c r="M2" i="12"/>
  <c r="M7" i="12" s="1"/>
  <c r="L14" i="7" s="1"/>
  <c r="L4" i="13" s="1"/>
  <c r="U2" i="12"/>
  <c r="U7" i="12" s="1"/>
  <c r="T14" i="7" s="1"/>
  <c r="T4" i="13" s="1"/>
  <c r="AC2" i="12"/>
  <c r="AC7" i="12" s="1"/>
  <c r="AB14" i="7" s="1"/>
  <c r="AB4" i="13" s="1"/>
  <c r="S2" i="12"/>
  <c r="S7" i="12" s="1"/>
  <c r="R14" i="7" s="1"/>
  <c r="R4" i="13" s="1"/>
  <c r="AB2" i="12"/>
  <c r="AB7" i="12" s="1"/>
  <c r="AA14" i="7" s="1"/>
  <c r="AA4" i="13" s="1"/>
  <c r="F2" i="12"/>
  <c r="F7" i="12" s="1"/>
  <c r="E14" i="7" s="1"/>
  <c r="E4" i="13" s="1"/>
  <c r="N2" i="12"/>
  <c r="N7" i="12" s="1"/>
  <c r="M14" i="7" s="1"/>
  <c r="M4" i="13" s="1"/>
  <c r="V2" i="12"/>
  <c r="V7" i="12" s="1"/>
  <c r="U14" i="7" s="1"/>
  <c r="U4" i="13" s="1"/>
  <c r="T2" i="12"/>
  <c r="T7" i="12" s="1"/>
  <c r="S14" i="7" s="1"/>
  <c r="S4" i="13" s="1"/>
  <c r="G2" i="12"/>
  <c r="G7" i="12" s="1"/>
  <c r="F14" i="7" s="1"/>
  <c r="F4" i="13" s="1"/>
  <c r="O2" i="12"/>
  <c r="O7" i="12" s="1"/>
  <c r="N14" i="7" s="1"/>
  <c r="N4" i="13" s="1"/>
  <c r="W2" i="12"/>
  <c r="W7" i="12" s="1"/>
  <c r="V14" i="7" s="1"/>
  <c r="V4" i="13" s="1"/>
  <c r="H2" i="12"/>
  <c r="H7" i="12" s="1"/>
  <c r="G14" i="7" s="1"/>
  <c r="G4" i="13" s="1"/>
  <c r="P2" i="12"/>
  <c r="P7" i="12" s="1"/>
  <c r="O14" i="7" s="1"/>
  <c r="O4" i="13" s="1"/>
  <c r="X2" i="12"/>
  <c r="X7" i="12" s="1"/>
  <c r="W14" i="7" s="1"/>
  <c r="W4" i="13" s="1"/>
  <c r="K2" i="12"/>
  <c r="K7" i="12" s="1"/>
  <c r="J14" i="7" s="1"/>
  <c r="J4" i="13" s="1"/>
  <c r="I2" i="12"/>
  <c r="I7" i="12" s="1"/>
  <c r="H14" i="7" s="1"/>
  <c r="H4" i="13" s="1"/>
  <c r="Q2" i="12"/>
  <c r="Q7" i="12" s="1"/>
  <c r="P14" i="7" s="1"/>
  <c r="P4" i="13" s="1"/>
  <c r="Y2" i="12"/>
  <c r="Y7" i="12" s="1"/>
  <c r="X14" i="7" s="1"/>
  <c r="X4" i="13" s="1"/>
  <c r="Z2" i="12"/>
  <c r="Z7" i="12" s="1"/>
  <c r="Y14" i="7" s="1"/>
  <c r="Y4" i="13" s="1"/>
  <c r="J2" i="12"/>
  <c r="J7" i="12" s="1"/>
  <c r="I14" i="7" s="1"/>
  <c r="I4" i="13" s="1"/>
  <c r="R2" i="12"/>
  <c r="R7" i="12" s="1"/>
  <c r="Q14" i="7" s="1"/>
  <c r="Q4" i="13" s="1"/>
  <c r="AA2" i="12"/>
  <c r="AA7" i="12" s="1"/>
  <c r="Z14" i="7" s="1"/>
  <c r="Z4" i="13" s="1"/>
  <c r="L2" i="12"/>
  <c r="L7" i="12" s="1"/>
  <c r="K14" i="7" s="1"/>
  <c r="K4" i="13" s="1"/>
  <c r="G8" i="9"/>
  <c r="G36" i="9"/>
  <c r="G18" i="9"/>
  <c r="G29" i="9"/>
  <c r="I32" i="6" l="1"/>
  <c r="H33" i="6"/>
  <c r="H35" i="6" s="1"/>
  <c r="H9" i="7"/>
  <c r="G37" i="6"/>
  <c r="D37" i="4"/>
  <c r="G14" i="3"/>
  <c r="C27" i="3"/>
  <c r="G27" i="3" s="1"/>
  <c r="C21" i="3"/>
  <c r="G21" i="3" s="1"/>
  <c r="C18" i="3"/>
  <c r="G18" i="3" s="1"/>
  <c r="J32" i="6" l="1"/>
  <c r="I33" i="6"/>
  <c r="I35" i="6" s="1"/>
  <c r="H37" i="6"/>
  <c r="I9" i="7"/>
  <c r="L27" i="4"/>
  <c r="T27" i="4"/>
  <c r="AB27" i="4"/>
  <c r="J27" i="4"/>
  <c r="M27" i="4"/>
  <c r="U27" i="4"/>
  <c r="AC27" i="4"/>
  <c r="N27" i="4"/>
  <c r="V27" i="4"/>
  <c r="AD27" i="4"/>
  <c r="O27" i="4"/>
  <c r="W27" i="4"/>
  <c r="G27" i="4"/>
  <c r="H27" i="4"/>
  <c r="P27" i="4"/>
  <c r="X27" i="4"/>
  <c r="R27" i="4"/>
  <c r="I27" i="4"/>
  <c r="Q27" i="4"/>
  <c r="Y27" i="4"/>
  <c r="K27" i="4"/>
  <c r="S27" i="4"/>
  <c r="AA27" i="4"/>
  <c r="Z27" i="4"/>
  <c r="C31" i="3"/>
  <c r="G31" i="3" s="1"/>
  <c r="G21" i="8"/>
  <c r="G20" i="8"/>
  <c r="G19" i="8"/>
  <c r="G18" i="8"/>
  <c r="G17" i="8"/>
  <c r="F16" i="8"/>
  <c r="E16" i="8"/>
  <c r="B11" i="8"/>
  <c r="C11" i="8" s="1"/>
  <c r="D11" i="8" s="1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K32" i="6" l="1"/>
  <c r="J33" i="6"/>
  <c r="J35" i="6" s="1"/>
  <c r="J9" i="7"/>
  <c r="I37" i="6"/>
  <c r="G44" i="3"/>
  <c r="E6" i="4" s="1"/>
  <c r="L32" i="6" l="1"/>
  <c r="K33" i="6"/>
  <c r="K35" i="6" s="1"/>
  <c r="K9" i="7"/>
  <c r="J37" i="6"/>
  <c r="D26" i="4"/>
  <c r="F26" i="4" s="1"/>
  <c r="D6" i="7" s="1"/>
  <c r="D36" i="4"/>
  <c r="B37" i="4"/>
  <c r="B36" i="4"/>
  <c r="D35" i="4"/>
  <c r="B35" i="4"/>
  <c r="KI37" i="4"/>
  <c r="AG37" i="4"/>
  <c r="BK37" i="4"/>
  <c r="BS37" i="4"/>
  <c r="CE37" i="4"/>
  <c r="CQ37" i="4"/>
  <c r="CY37" i="4"/>
  <c r="EM37" i="4"/>
  <c r="FC37" i="4"/>
  <c r="FK37" i="4"/>
  <c r="FS37" i="4"/>
  <c r="GQ37" i="4"/>
  <c r="IE37" i="4"/>
  <c r="IU37" i="4"/>
  <c r="JC37" i="4"/>
  <c r="JK37" i="4"/>
  <c r="L37" i="4"/>
  <c r="A16" i="4"/>
  <c r="A15" i="4"/>
  <c r="A14" i="4"/>
  <c r="B27" i="4"/>
  <c r="B26" i="4"/>
  <c r="D25" i="4"/>
  <c r="B25" i="4"/>
  <c r="M32" i="6" l="1"/>
  <c r="L33" i="6"/>
  <c r="L35" i="6" s="1"/>
  <c r="L9" i="7"/>
  <c r="K37" i="6"/>
  <c r="G25" i="4"/>
  <c r="K25" i="4"/>
  <c r="O25" i="4"/>
  <c r="S25" i="4"/>
  <c r="W25" i="4"/>
  <c r="AA25" i="4"/>
  <c r="H25" i="4"/>
  <c r="AJ35" i="4" s="1"/>
  <c r="L25" i="4"/>
  <c r="P25" i="4"/>
  <c r="T25" i="4"/>
  <c r="X25" i="4"/>
  <c r="AB25" i="4"/>
  <c r="J26" i="4"/>
  <c r="L26" i="4"/>
  <c r="N26" i="4"/>
  <c r="P26" i="4"/>
  <c r="R26" i="4"/>
  <c r="T26" i="4"/>
  <c r="V26" i="4"/>
  <c r="X26" i="4"/>
  <c r="Z26" i="4"/>
  <c r="AB26" i="4"/>
  <c r="AD26" i="4"/>
  <c r="G26" i="4"/>
  <c r="E6" i="7" s="1"/>
  <c r="I26" i="4"/>
  <c r="K26" i="4"/>
  <c r="M26" i="4"/>
  <c r="O26" i="4"/>
  <c r="Q26" i="4"/>
  <c r="S26" i="4"/>
  <c r="U26" i="4"/>
  <c r="W26" i="4"/>
  <c r="Y26" i="4"/>
  <c r="AA26" i="4"/>
  <c r="AC26" i="4"/>
  <c r="H26" i="4"/>
  <c r="AK37" i="4"/>
  <c r="P37" i="4"/>
  <c r="KQ37" i="4"/>
  <c r="H37" i="4"/>
  <c r="DG37" i="4"/>
  <c r="CI37" i="4"/>
  <c r="GY37" i="4"/>
  <c r="CA37" i="4"/>
  <c r="AA7" i="7"/>
  <c r="JV37" i="4"/>
  <c r="JZ37" i="4"/>
  <c r="KD37" i="4"/>
  <c r="JX37" i="4"/>
  <c r="KB37" i="4"/>
  <c r="KF37" i="4"/>
  <c r="KC37" i="4"/>
  <c r="JW37" i="4"/>
  <c r="KE37" i="4"/>
  <c r="JY37" i="4"/>
  <c r="KG37" i="4"/>
  <c r="S7" i="7"/>
  <c r="GD37" i="4"/>
  <c r="GH37" i="4"/>
  <c r="GL37" i="4"/>
  <c r="GF37" i="4"/>
  <c r="GJ37" i="4"/>
  <c r="GN37" i="4"/>
  <c r="GK37" i="4"/>
  <c r="GE37" i="4"/>
  <c r="GM37" i="4"/>
  <c r="GG37" i="4"/>
  <c r="GO37" i="4"/>
  <c r="G7" i="7"/>
  <c r="AP37" i="4"/>
  <c r="AT37" i="4"/>
  <c r="AX37" i="4"/>
  <c r="AR37" i="4"/>
  <c r="AV37" i="4"/>
  <c r="AZ37" i="4"/>
  <c r="AW37" i="4"/>
  <c r="AQ37" i="4"/>
  <c r="AY37" i="4"/>
  <c r="AS37" i="4"/>
  <c r="BA37" i="4"/>
  <c r="AU37" i="4"/>
  <c r="Z7" i="7"/>
  <c r="JJ37" i="4"/>
  <c r="JN37" i="4"/>
  <c r="JR37" i="4"/>
  <c r="JL37" i="4"/>
  <c r="JP37" i="4"/>
  <c r="JT37" i="4"/>
  <c r="JM37" i="4"/>
  <c r="JU37" i="4"/>
  <c r="JO37" i="4"/>
  <c r="JQ37" i="4"/>
  <c r="V7" i="7"/>
  <c r="HN37" i="4"/>
  <c r="HR37" i="4"/>
  <c r="HV37" i="4"/>
  <c r="HP37" i="4"/>
  <c r="HT37" i="4"/>
  <c r="HX37" i="4"/>
  <c r="HQ37" i="4"/>
  <c r="HY37" i="4"/>
  <c r="HS37" i="4"/>
  <c r="HU37" i="4"/>
  <c r="FR37" i="4"/>
  <c r="FV37" i="4"/>
  <c r="FZ37" i="4"/>
  <c r="FT37" i="4"/>
  <c r="FX37" i="4"/>
  <c r="GB37" i="4"/>
  <c r="R7" i="7"/>
  <c r="FU37" i="4"/>
  <c r="GC37" i="4"/>
  <c r="FW37" i="4"/>
  <c r="FY37" i="4"/>
  <c r="N7" i="7"/>
  <c r="DV37" i="4"/>
  <c r="DZ37" i="4"/>
  <c r="ED37" i="4"/>
  <c r="DX37" i="4"/>
  <c r="EB37" i="4"/>
  <c r="EF37" i="4"/>
  <c r="DY37" i="4"/>
  <c r="EG37" i="4"/>
  <c r="EA37" i="4"/>
  <c r="EC37" i="4"/>
  <c r="N37" i="4"/>
  <c r="HW37" i="4"/>
  <c r="EE37" i="4"/>
  <c r="O7" i="7"/>
  <c r="EH37" i="4"/>
  <c r="EL37" i="4"/>
  <c r="EP37" i="4"/>
  <c r="EJ37" i="4"/>
  <c r="EN37" i="4"/>
  <c r="ER37" i="4"/>
  <c r="EO37" i="4"/>
  <c r="EI37" i="4"/>
  <c r="EQ37" i="4"/>
  <c r="EK37" i="4"/>
  <c r="ES37" i="4"/>
  <c r="Q7" i="7"/>
  <c r="FF37" i="4"/>
  <c r="FJ37" i="4"/>
  <c r="FN37" i="4"/>
  <c r="FH37" i="4"/>
  <c r="FL37" i="4"/>
  <c r="FP37" i="4"/>
  <c r="FM37" i="4"/>
  <c r="FG37" i="4"/>
  <c r="FO37" i="4"/>
  <c r="FI37" i="4"/>
  <c r="FQ37" i="4"/>
  <c r="M7" i="7"/>
  <c r="DJ37" i="4"/>
  <c r="DN37" i="4"/>
  <c r="DR37" i="4"/>
  <c r="DL37" i="4"/>
  <c r="DP37" i="4"/>
  <c r="DT37" i="4"/>
  <c r="DQ37" i="4"/>
  <c r="DK37" i="4"/>
  <c r="DS37" i="4"/>
  <c r="DM37" i="4"/>
  <c r="DU37" i="4"/>
  <c r="I7" i="7"/>
  <c r="BN37" i="4"/>
  <c r="BR37" i="4"/>
  <c r="BV37" i="4"/>
  <c r="BP37" i="4"/>
  <c r="BT37" i="4"/>
  <c r="BX37" i="4"/>
  <c r="BU37" i="4"/>
  <c r="BO37" i="4"/>
  <c r="BW37" i="4"/>
  <c r="BQ37" i="4"/>
  <c r="BY37" i="4"/>
  <c r="E7" i="7"/>
  <c r="R37" i="4"/>
  <c r="V37" i="4"/>
  <c r="Z37" i="4"/>
  <c r="S37" i="4"/>
  <c r="W37" i="4"/>
  <c r="AA37" i="4"/>
  <c r="T37" i="4"/>
  <c r="X37" i="4"/>
  <c r="AB37" i="4"/>
  <c r="Y37" i="4"/>
  <c r="AC37" i="4"/>
  <c r="KA37" i="4"/>
  <c r="HO37" i="4"/>
  <c r="GI37" i="4"/>
  <c r="DW37" i="4"/>
  <c r="U37" i="4"/>
  <c r="W7" i="7"/>
  <c r="HZ37" i="4"/>
  <c r="ID37" i="4"/>
  <c r="IH37" i="4"/>
  <c r="IB37" i="4"/>
  <c r="IF37" i="4"/>
  <c r="IJ37" i="4"/>
  <c r="IG37" i="4"/>
  <c r="IA37" i="4"/>
  <c r="II37" i="4"/>
  <c r="IC37" i="4"/>
  <c r="IK37" i="4"/>
  <c r="K7" i="7"/>
  <c r="CL37" i="4"/>
  <c r="CP37" i="4"/>
  <c r="CT37" i="4"/>
  <c r="CN37" i="4"/>
  <c r="CR37" i="4"/>
  <c r="CV37" i="4"/>
  <c r="CS37" i="4"/>
  <c r="CM37" i="4"/>
  <c r="CU37" i="4"/>
  <c r="CO37" i="4"/>
  <c r="CW37" i="4"/>
  <c r="Y7" i="7"/>
  <c r="IX37" i="4"/>
  <c r="JB37" i="4"/>
  <c r="JF37" i="4"/>
  <c r="IZ37" i="4"/>
  <c r="JD37" i="4"/>
  <c r="JH37" i="4"/>
  <c r="JE37" i="4"/>
  <c r="IY37" i="4"/>
  <c r="JG37" i="4"/>
  <c r="JA37" i="4"/>
  <c r="JI37" i="4"/>
  <c r="U7" i="7"/>
  <c r="HB37" i="4"/>
  <c r="HF37" i="4"/>
  <c r="HJ37" i="4"/>
  <c r="HD37" i="4"/>
  <c r="HH37" i="4"/>
  <c r="HL37" i="4"/>
  <c r="HI37" i="4"/>
  <c r="HC37" i="4"/>
  <c r="HK37" i="4"/>
  <c r="HE37" i="4"/>
  <c r="HM37" i="4"/>
  <c r="D7" i="7"/>
  <c r="I37" i="4"/>
  <c r="M37" i="4"/>
  <c r="Q37" i="4"/>
  <c r="F37" i="4"/>
  <c r="G37" i="4"/>
  <c r="K37" i="4"/>
  <c r="O37" i="4"/>
  <c r="X7" i="7"/>
  <c r="IL37" i="4"/>
  <c r="IP37" i="4"/>
  <c r="IT37" i="4"/>
  <c r="IN37" i="4"/>
  <c r="IR37" i="4"/>
  <c r="IV37" i="4"/>
  <c r="IO37" i="4"/>
  <c r="IW37" i="4"/>
  <c r="IQ37" i="4"/>
  <c r="IS37" i="4"/>
  <c r="T7" i="7"/>
  <c r="GP37" i="4"/>
  <c r="GT37" i="4"/>
  <c r="GX37" i="4"/>
  <c r="GR37" i="4"/>
  <c r="GV37" i="4"/>
  <c r="GZ37" i="4"/>
  <c r="GS37" i="4"/>
  <c r="HA37" i="4"/>
  <c r="GU37" i="4"/>
  <c r="GW37" i="4"/>
  <c r="P7" i="7"/>
  <c r="ET37" i="4"/>
  <c r="EX37" i="4"/>
  <c r="FB37" i="4"/>
  <c r="EV37" i="4"/>
  <c r="EZ37" i="4"/>
  <c r="FD37" i="4"/>
  <c r="EW37" i="4"/>
  <c r="FE37" i="4"/>
  <c r="EY37" i="4"/>
  <c r="FA37" i="4"/>
  <c r="L7" i="7"/>
  <c r="CX37" i="4"/>
  <c r="DB37" i="4"/>
  <c r="DF37" i="4"/>
  <c r="CZ37" i="4"/>
  <c r="DD37" i="4"/>
  <c r="DH37" i="4"/>
  <c r="DA37" i="4"/>
  <c r="DI37" i="4"/>
  <c r="DC37" i="4"/>
  <c r="DE37" i="4"/>
  <c r="H7" i="7"/>
  <c r="BB37" i="4"/>
  <c r="BF37" i="4"/>
  <c r="BJ37" i="4"/>
  <c r="BD37" i="4"/>
  <c r="BH37" i="4"/>
  <c r="BL37" i="4"/>
  <c r="BE37" i="4"/>
  <c r="BM37" i="4"/>
  <c r="BG37" i="4"/>
  <c r="BI37" i="4"/>
  <c r="J37" i="4"/>
  <c r="JS37" i="4"/>
  <c r="IM37" i="4"/>
  <c r="HG37" i="4"/>
  <c r="GA37" i="4"/>
  <c r="EU37" i="4"/>
  <c r="DO37" i="4"/>
  <c r="BC37" i="4"/>
  <c r="AB7" i="7"/>
  <c r="KH37" i="4"/>
  <c r="KL37" i="4"/>
  <c r="KP37" i="4"/>
  <c r="KJ37" i="4"/>
  <c r="KN37" i="4"/>
  <c r="KR37" i="4"/>
  <c r="KO37" i="4"/>
  <c r="CG37" i="4"/>
  <c r="KM37" i="4"/>
  <c r="J7" i="7"/>
  <c r="BZ37" i="4"/>
  <c r="CD37" i="4"/>
  <c r="CH37" i="4"/>
  <c r="CB37" i="4"/>
  <c r="CF37" i="4"/>
  <c r="CJ37" i="4"/>
  <c r="F7" i="7"/>
  <c r="AD37" i="4"/>
  <c r="AH37" i="4"/>
  <c r="AL37" i="4"/>
  <c r="AE37" i="4"/>
  <c r="AI37" i="4"/>
  <c r="AM37" i="4"/>
  <c r="AF37" i="4"/>
  <c r="AJ37" i="4"/>
  <c r="AN37" i="4"/>
  <c r="KS37" i="4"/>
  <c r="KK37" i="4"/>
  <c r="CK37" i="4"/>
  <c r="CC37" i="4"/>
  <c r="AO37" i="4"/>
  <c r="I25" i="4"/>
  <c r="M25" i="4"/>
  <c r="Q25" i="4"/>
  <c r="U25" i="4"/>
  <c r="Y25" i="4"/>
  <c r="AC25" i="4"/>
  <c r="F25" i="4"/>
  <c r="J25" i="4"/>
  <c r="N25" i="4"/>
  <c r="R25" i="4"/>
  <c r="V25" i="4"/>
  <c r="Z25" i="4"/>
  <c r="AD25" i="4"/>
  <c r="N32" i="6" l="1"/>
  <c r="M33" i="6"/>
  <c r="M35" i="6" s="1"/>
  <c r="M9" i="7"/>
  <c r="L37" i="6"/>
  <c r="AD35" i="4"/>
  <c r="AO35" i="4"/>
  <c r="Y36" i="4"/>
  <c r="V36" i="4"/>
  <c r="AA36" i="4"/>
  <c r="T36" i="4"/>
  <c r="S36" i="4"/>
  <c r="R36" i="4"/>
  <c r="AM35" i="4"/>
  <c r="AK35" i="4"/>
  <c r="AL35" i="4"/>
  <c r="AH35" i="4"/>
  <c r="AE35" i="4"/>
  <c r="F4" i="7"/>
  <c r="F17" i="11" s="1"/>
  <c r="F20" i="11" s="1"/>
  <c r="AF35" i="4"/>
  <c r="AI35" i="4"/>
  <c r="AG35" i="4"/>
  <c r="AN35" i="4"/>
  <c r="E12" i="7"/>
  <c r="E8" i="11"/>
  <c r="E12" i="11" s="1"/>
  <c r="X36" i="4"/>
  <c r="AB36" i="4"/>
  <c r="Z36" i="4"/>
  <c r="AC36" i="4"/>
  <c r="U36" i="4"/>
  <c r="W36" i="4"/>
  <c r="G4" i="7"/>
  <c r="G17" i="11" s="1"/>
  <c r="F29" i="4"/>
  <c r="T4" i="7"/>
  <c r="T17" i="11" s="1"/>
  <c r="CW35" i="4"/>
  <c r="KA35" i="4"/>
  <c r="IQ35" i="4"/>
  <c r="EK35" i="4"/>
  <c r="GK35" i="4"/>
  <c r="P4" i="7"/>
  <c r="P17" i="11" s="1"/>
  <c r="N4" i="7"/>
  <c r="N17" i="11" s="1"/>
  <c r="DY35" i="4"/>
  <c r="EC35" i="4"/>
  <c r="EG35" i="4"/>
  <c r="DZ35" i="4"/>
  <c r="ED35" i="4"/>
  <c r="DV35" i="4"/>
  <c r="DW35" i="4"/>
  <c r="EA35" i="4"/>
  <c r="EE35" i="4"/>
  <c r="EB35" i="4"/>
  <c r="EF35" i="4"/>
  <c r="DX35" i="4"/>
  <c r="V6" i="7"/>
  <c r="HN36" i="4"/>
  <c r="HR36" i="4"/>
  <c r="HV36" i="4"/>
  <c r="HO36" i="4"/>
  <c r="HS36" i="4"/>
  <c r="HW36" i="4"/>
  <c r="HP36" i="4"/>
  <c r="HT36" i="4"/>
  <c r="HX36" i="4"/>
  <c r="HY36" i="4"/>
  <c r="HQ36" i="4"/>
  <c r="HU36" i="4"/>
  <c r="S6" i="7"/>
  <c r="GE36" i="4"/>
  <c r="GI36" i="4"/>
  <c r="GG36" i="4"/>
  <c r="GK36" i="4"/>
  <c r="GO36" i="4"/>
  <c r="GD36" i="4"/>
  <c r="GL36" i="4"/>
  <c r="GF36" i="4"/>
  <c r="GM36" i="4"/>
  <c r="GH36" i="4"/>
  <c r="GN36" i="4"/>
  <c r="GJ36" i="4"/>
  <c r="X4" i="7"/>
  <c r="X17" i="11" s="1"/>
  <c r="IM35" i="4"/>
  <c r="IU35" i="4"/>
  <c r="IO35" i="4"/>
  <c r="IS35" i="4"/>
  <c r="IT35" i="4"/>
  <c r="IN35" i="4"/>
  <c r="IV35" i="4"/>
  <c r="IL35" i="4"/>
  <c r="IR35" i="4"/>
  <c r="G29" i="4"/>
  <c r="E4" i="7"/>
  <c r="E3" i="7" s="1"/>
  <c r="E11" i="7" s="1"/>
  <c r="U35" i="4"/>
  <c r="Y35" i="4"/>
  <c r="AC35" i="4"/>
  <c r="S35" i="4"/>
  <c r="W35" i="4"/>
  <c r="AA35" i="4"/>
  <c r="Z35" i="4"/>
  <c r="X35" i="4"/>
  <c r="T35" i="4"/>
  <c r="AB35" i="4"/>
  <c r="V35" i="4"/>
  <c r="R35" i="4"/>
  <c r="U6" i="7"/>
  <c r="HB36" i="4"/>
  <c r="HF36" i="4"/>
  <c r="HJ36" i="4"/>
  <c r="HC36" i="4"/>
  <c r="HG36" i="4"/>
  <c r="HK36" i="4"/>
  <c r="HD36" i="4"/>
  <c r="HH36" i="4"/>
  <c r="HL36" i="4"/>
  <c r="HI36" i="4"/>
  <c r="HM36" i="4"/>
  <c r="HE36" i="4"/>
  <c r="T29" i="4"/>
  <c r="R4" i="7"/>
  <c r="R17" i="11" s="1"/>
  <c r="FU35" i="4"/>
  <c r="FY35" i="4"/>
  <c r="GC35" i="4"/>
  <c r="FV35" i="4"/>
  <c r="GA35" i="4"/>
  <c r="FW35" i="4"/>
  <c r="GB35" i="4"/>
  <c r="FS35" i="4"/>
  <c r="FX35" i="4"/>
  <c r="FR35" i="4"/>
  <c r="FT35" i="4"/>
  <c r="FZ35" i="4"/>
  <c r="CA36" i="4"/>
  <c r="CE36" i="4"/>
  <c r="CI36" i="4"/>
  <c r="CC36" i="4"/>
  <c r="CG36" i="4"/>
  <c r="CK36" i="4"/>
  <c r="CD36" i="4"/>
  <c r="J6" i="7"/>
  <c r="CF36" i="4"/>
  <c r="BZ36" i="4"/>
  <c r="CH36" i="4"/>
  <c r="CB36" i="4"/>
  <c r="CJ36" i="4"/>
  <c r="JJ36" i="4"/>
  <c r="JN36" i="4"/>
  <c r="JR36" i="4"/>
  <c r="JK36" i="4"/>
  <c r="JO36" i="4"/>
  <c r="JS36" i="4"/>
  <c r="Z6" i="7"/>
  <c r="JL36" i="4"/>
  <c r="JP36" i="4"/>
  <c r="JT36" i="4"/>
  <c r="JU36" i="4"/>
  <c r="JM36" i="4"/>
  <c r="JQ36" i="4"/>
  <c r="Q29" i="4"/>
  <c r="O4" i="7"/>
  <c r="O17" i="11" s="1"/>
  <c r="ES35" i="4"/>
  <c r="EL35" i="4"/>
  <c r="EI35" i="4"/>
  <c r="EM35" i="4"/>
  <c r="EN35" i="4"/>
  <c r="ER35" i="4"/>
  <c r="G6" i="7"/>
  <c r="AQ36" i="4"/>
  <c r="AU36" i="4"/>
  <c r="AY36" i="4"/>
  <c r="AS36" i="4"/>
  <c r="AW36" i="4"/>
  <c r="BA36" i="4"/>
  <c r="AP36" i="4"/>
  <c r="AX36" i="4"/>
  <c r="AR36" i="4"/>
  <c r="AZ36" i="4"/>
  <c r="AT36" i="4"/>
  <c r="AV36" i="4"/>
  <c r="W6" i="7"/>
  <c r="HZ36" i="4"/>
  <c r="ID36" i="4"/>
  <c r="IH36" i="4"/>
  <c r="IA36" i="4"/>
  <c r="IE36" i="4"/>
  <c r="II36" i="4"/>
  <c r="IB36" i="4"/>
  <c r="IF36" i="4"/>
  <c r="IJ36" i="4"/>
  <c r="IC36" i="4"/>
  <c r="IG36" i="4"/>
  <c r="IK36" i="4"/>
  <c r="DG35" i="4"/>
  <c r="AB4" i="7"/>
  <c r="AB17" i="11" s="1"/>
  <c r="KI35" i="4"/>
  <c r="KM35" i="4"/>
  <c r="KQ35" i="4"/>
  <c r="KK35" i="4"/>
  <c r="KO35" i="4"/>
  <c r="KS35" i="4"/>
  <c r="KP35" i="4"/>
  <c r="KJ35" i="4"/>
  <c r="KR35" i="4"/>
  <c r="KL35" i="4"/>
  <c r="KH35" i="4"/>
  <c r="KN35" i="4"/>
  <c r="AD29" i="4"/>
  <c r="T6" i="7"/>
  <c r="GS36" i="4"/>
  <c r="GW36" i="4"/>
  <c r="HA36" i="4"/>
  <c r="GQ36" i="4"/>
  <c r="GV36" i="4"/>
  <c r="GR36" i="4"/>
  <c r="GX36" i="4"/>
  <c r="GT36" i="4"/>
  <c r="GY36" i="4"/>
  <c r="GP36" i="4"/>
  <c r="GU36" i="4"/>
  <c r="GZ36" i="4"/>
  <c r="I4" i="7"/>
  <c r="I17" i="11" s="1"/>
  <c r="BQ35" i="4"/>
  <c r="BU35" i="4"/>
  <c r="BY35" i="4"/>
  <c r="BO35" i="4"/>
  <c r="BS35" i="4"/>
  <c r="BW35" i="4"/>
  <c r="BV35" i="4"/>
  <c r="BP35" i="4"/>
  <c r="BX35" i="4"/>
  <c r="BT35" i="4"/>
  <c r="BR35" i="4"/>
  <c r="BN35" i="4"/>
  <c r="Y4" i="7"/>
  <c r="Y17" i="11" s="1"/>
  <c r="IY35" i="4"/>
  <c r="JC35" i="4"/>
  <c r="JG35" i="4"/>
  <c r="JA35" i="4"/>
  <c r="JE35" i="4"/>
  <c r="JI35" i="4"/>
  <c r="JB35" i="4"/>
  <c r="IX35" i="4"/>
  <c r="JD35" i="4"/>
  <c r="JF35" i="4"/>
  <c r="IZ35" i="4"/>
  <c r="JH35" i="4"/>
  <c r="CO35" i="4"/>
  <c r="CS35" i="4"/>
  <c r="CQ35" i="4"/>
  <c r="CU35" i="4"/>
  <c r="CV35" i="4"/>
  <c r="CP35" i="4"/>
  <c r="U4" i="7"/>
  <c r="U17" i="11" s="1"/>
  <c r="HE35" i="4"/>
  <c r="HI35" i="4"/>
  <c r="HM35" i="4"/>
  <c r="HD35" i="4"/>
  <c r="HJ35" i="4"/>
  <c r="HF35" i="4"/>
  <c r="HK35" i="4"/>
  <c r="HG35" i="4"/>
  <c r="HL35" i="4"/>
  <c r="HB35" i="4"/>
  <c r="HC35" i="4"/>
  <c r="HH35" i="4"/>
  <c r="N6" i="7"/>
  <c r="DW36" i="4"/>
  <c r="EA36" i="4"/>
  <c r="EE36" i="4"/>
  <c r="DY36" i="4"/>
  <c r="EC36" i="4"/>
  <c r="EG36" i="4"/>
  <c r="DZ36" i="4"/>
  <c r="EB36" i="4"/>
  <c r="DV36" i="4"/>
  <c r="ED36" i="4"/>
  <c r="EF36" i="4"/>
  <c r="DX36" i="4"/>
  <c r="K6" i="7"/>
  <c r="CM36" i="4"/>
  <c r="CQ36" i="4"/>
  <c r="CU36" i="4"/>
  <c r="CO36" i="4"/>
  <c r="CS36" i="4"/>
  <c r="CW36" i="4"/>
  <c r="CL36" i="4"/>
  <c r="CT36" i="4"/>
  <c r="CN36" i="4"/>
  <c r="CV36" i="4"/>
  <c r="CP36" i="4"/>
  <c r="CR36" i="4"/>
  <c r="X6" i="7"/>
  <c r="IL36" i="4"/>
  <c r="IP36" i="4"/>
  <c r="IT36" i="4"/>
  <c r="IM36" i="4"/>
  <c r="IQ36" i="4"/>
  <c r="IU36" i="4"/>
  <c r="IN36" i="4"/>
  <c r="IR36" i="4"/>
  <c r="IV36" i="4"/>
  <c r="IO36" i="4"/>
  <c r="IS36" i="4"/>
  <c r="IW36" i="4"/>
  <c r="Q6" i="7"/>
  <c r="FG36" i="4"/>
  <c r="FK36" i="4"/>
  <c r="FO36" i="4"/>
  <c r="FI36" i="4"/>
  <c r="FM36" i="4"/>
  <c r="FQ36" i="4"/>
  <c r="FF36" i="4"/>
  <c r="FN36" i="4"/>
  <c r="FH36" i="4"/>
  <c r="FP36" i="4"/>
  <c r="FJ36" i="4"/>
  <c r="FL36" i="4"/>
  <c r="H29" i="4"/>
  <c r="AE36" i="4"/>
  <c r="AI36" i="4"/>
  <c r="AM36" i="4"/>
  <c r="F6" i="7"/>
  <c r="AG36" i="4"/>
  <c r="AK36" i="4"/>
  <c r="AO36" i="4"/>
  <c r="AO39" i="4" s="1"/>
  <c r="AH36" i="4"/>
  <c r="AJ36" i="4"/>
  <c r="AJ39" i="4" s="1"/>
  <c r="AD36" i="4"/>
  <c r="AD39" i="4" s="1"/>
  <c r="AL36" i="4"/>
  <c r="AN36" i="4"/>
  <c r="AF36" i="4"/>
  <c r="AF39" i="4" s="1"/>
  <c r="H4" i="7"/>
  <c r="H17" i="11" s="1"/>
  <c r="BE35" i="4"/>
  <c r="BI35" i="4"/>
  <c r="BM35" i="4"/>
  <c r="BC35" i="4"/>
  <c r="BG35" i="4"/>
  <c r="BK35" i="4"/>
  <c r="BF35" i="4"/>
  <c r="BB35" i="4"/>
  <c r="BH35" i="4"/>
  <c r="BJ35" i="4"/>
  <c r="BD35" i="4"/>
  <c r="BL35" i="4"/>
  <c r="P6" i="7"/>
  <c r="EU36" i="4"/>
  <c r="EY36" i="4"/>
  <c r="FC36" i="4"/>
  <c r="EW36" i="4"/>
  <c r="FA36" i="4"/>
  <c r="FE36" i="4"/>
  <c r="EX36" i="4"/>
  <c r="EZ36" i="4"/>
  <c r="ET36" i="4"/>
  <c r="FB36" i="4"/>
  <c r="EV36" i="4"/>
  <c r="FD36" i="4"/>
  <c r="I6" i="7"/>
  <c r="BO36" i="4"/>
  <c r="BS36" i="4"/>
  <c r="BW36" i="4"/>
  <c r="BQ36" i="4"/>
  <c r="BU36" i="4"/>
  <c r="BY36" i="4"/>
  <c r="BN36" i="4"/>
  <c r="BV36" i="4"/>
  <c r="BP36" i="4"/>
  <c r="BX36" i="4"/>
  <c r="BR36" i="4"/>
  <c r="BT36" i="4"/>
  <c r="Y6" i="7"/>
  <c r="IX36" i="4"/>
  <c r="JB36" i="4"/>
  <c r="JF36" i="4"/>
  <c r="IY36" i="4"/>
  <c r="JC36" i="4"/>
  <c r="JG36" i="4"/>
  <c r="IZ36" i="4"/>
  <c r="JD36" i="4"/>
  <c r="JH36" i="4"/>
  <c r="JE36" i="4"/>
  <c r="JI36" i="4"/>
  <c r="JA36" i="4"/>
  <c r="X29" i="4"/>
  <c r="V4" i="7"/>
  <c r="V17" i="11" s="1"/>
  <c r="HO35" i="4"/>
  <c r="HS35" i="4"/>
  <c r="HW35" i="4"/>
  <c r="HQ35" i="4"/>
  <c r="HU35" i="4"/>
  <c r="HY35" i="4"/>
  <c r="HV35" i="4"/>
  <c r="HP35" i="4"/>
  <c r="HX35" i="4"/>
  <c r="HR35" i="4"/>
  <c r="HN35" i="4"/>
  <c r="HT35" i="4"/>
  <c r="J36" i="4"/>
  <c r="N36" i="4"/>
  <c r="H36" i="4"/>
  <c r="L36" i="4"/>
  <c r="P36" i="4"/>
  <c r="G36" i="4"/>
  <c r="O36" i="4"/>
  <c r="I36" i="4"/>
  <c r="Q36" i="4"/>
  <c r="K36" i="4"/>
  <c r="M36" i="4"/>
  <c r="F36" i="4"/>
  <c r="GN35" i="4"/>
  <c r="GD35" i="4"/>
  <c r="AA6" i="7"/>
  <c r="JV36" i="4"/>
  <c r="JZ36" i="4"/>
  <c r="KD36" i="4"/>
  <c r="JW36" i="4"/>
  <c r="KA36" i="4"/>
  <c r="KE36" i="4"/>
  <c r="JX36" i="4"/>
  <c r="KB36" i="4"/>
  <c r="KF36" i="4"/>
  <c r="JY36" i="4"/>
  <c r="KC36" i="4"/>
  <c r="KG36" i="4"/>
  <c r="FA35" i="4"/>
  <c r="EU35" i="4"/>
  <c r="EV35" i="4"/>
  <c r="FB35" i="4"/>
  <c r="FC35" i="4"/>
  <c r="R29" i="4"/>
  <c r="H6" i="7"/>
  <c r="BC36" i="4"/>
  <c r="BG36" i="4"/>
  <c r="BK36" i="4"/>
  <c r="BE36" i="4"/>
  <c r="BI36" i="4"/>
  <c r="BM36" i="4"/>
  <c r="BF36" i="4"/>
  <c r="BH36" i="4"/>
  <c r="BB36" i="4"/>
  <c r="BJ36" i="4"/>
  <c r="BD36" i="4"/>
  <c r="BL36" i="4"/>
  <c r="M4" i="7"/>
  <c r="M17" i="11" s="1"/>
  <c r="DM35" i="4"/>
  <c r="DQ35" i="4"/>
  <c r="DU35" i="4"/>
  <c r="DN35" i="4"/>
  <c r="DR35" i="4"/>
  <c r="DJ35" i="4"/>
  <c r="DK35" i="4"/>
  <c r="DO35" i="4"/>
  <c r="DS35" i="4"/>
  <c r="DT35" i="4"/>
  <c r="DL35" i="4"/>
  <c r="DP35" i="4"/>
  <c r="M6" i="7"/>
  <c r="DK36" i="4"/>
  <c r="DO36" i="4"/>
  <c r="DS36" i="4"/>
  <c r="DM36" i="4"/>
  <c r="DQ36" i="4"/>
  <c r="DU36" i="4"/>
  <c r="DJ36" i="4"/>
  <c r="DR36" i="4"/>
  <c r="DL36" i="4"/>
  <c r="DT36" i="4"/>
  <c r="DN36" i="4"/>
  <c r="DP36" i="4"/>
  <c r="J4" i="7"/>
  <c r="J17" i="11" s="1"/>
  <c r="CC35" i="4"/>
  <c r="CG35" i="4"/>
  <c r="CK35" i="4"/>
  <c r="CA35" i="4"/>
  <c r="CE35" i="4"/>
  <c r="CI35" i="4"/>
  <c r="CD35" i="4"/>
  <c r="BZ35" i="4"/>
  <c r="CF35" i="4"/>
  <c r="CH35" i="4"/>
  <c r="CB35" i="4"/>
  <c r="CJ35" i="4"/>
  <c r="Z4" i="7"/>
  <c r="Z17" i="11" s="1"/>
  <c r="JK35" i="4"/>
  <c r="JO35" i="4"/>
  <c r="JS35" i="4"/>
  <c r="JM35" i="4"/>
  <c r="JQ35" i="4"/>
  <c r="JU35" i="4"/>
  <c r="JR35" i="4"/>
  <c r="JL35" i="4"/>
  <c r="JT35" i="4"/>
  <c r="JN35" i="4"/>
  <c r="JJ35" i="4"/>
  <c r="JP35" i="4"/>
  <c r="FS36" i="4"/>
  <c r="FW36" i="4"/>
  <c r="GA36" i="4"/>
  <c r="R6" i="7"/>
  <c r="FU36" i="4"/>
  <c r="FY36" i="4"/>
  <c r="GC36" i="4"/>
  <c r="FV36" i="4"/>
  <c r="FX36" i="4"/>
  <c r="FR36" i="4"/>
  <c r="FZ36" i="4"/>
  <c r="FT36" i="4"/>
  <c r="GB36" i="4"/>
  <c r="AW35" i="4"/>
  <c r="BA35" i="4"/>
  <c r="AY35" i="4"/>
  <c r="AX35" i="4"/>
  <c r="AZ35" i="4"/>
  <c r="AT35" i="4"/>
  <c r="IA35" i="4"/>
  <c r="IE35" i="4"/>
  <c r="IG35" i="4"/>
  <c r="IF35" i="4"/>
  <c r="IH35" i="4"/>
  <c r="O6" i="7"/>
  <c r="EI36" i="4"/>
  <c r="EM36" i="4"/>
  <c r="EQ36" i="4"/>
  <c r="EK36" i="4"/>
  <c r="EO36" i="4"/>
  <c r="ES36" i="4"/>
  <c r="EH36" i="4"/>
  <c r="EP36" i="4"/>
  <c r="EJ36" i="4"/>
  <c r="ER36" i="4"/>
  <c r="EL36" i="4"/>
  <c r="EN36" i="4"/>
  <c r="D4" i="7"/>
  <c r="D17" i="11" s="1"/>
  <c r="G35" i="4"/>
  <c r="K35" i="4"/>
  <c r="O35" i="4"/>
  <c r="I35" i="4"/>
  <c r="M35" i="4"/>
  <c r="Q35" i="4"/>
  <c r="L35" i="4"/>
  <c r="F35" i="4"/>
  <c r="J35" i="4"/>
  <c r="N35" i="4"/>
  <c r="H35" i="4"/>
  <c r="P35" i="4"/>
  <c r="GP35" i="4"/>
  <c r="GT35" i="4"/>
  <c r="L6" i="7"/>
  <c r="CY36" i="4"/>
  <c r="DC36" i="4"/>
  <c r="DG36" i="4"/>
  <c r="DA36" i="4"/>
  <c r="DE36" i="4"/>
  <c r="DI36" i="4"/>
  <c r="DB36" i="4"/>
  <c r="DD36" i="4"/>
  <c r="CX36" i="4"/>
  <c r="DF36" i="4"/>
  <c r="CZ36" i="4"/>
  <c r="DH36" i="4"/>
  <c r="AB6" i="7"/>
  <c r="KH36" i="4"/>
  <c r="KL36" i="4"/>
  <c r="KP36" i="4"/>
  <c r="KI36" i="4"/>
  <c r="KM36" i="4"/>
  <c r="KQ36" i="4"/>
  <c r="KJ36" i="4"/>
  <c r="KN36" i="4"/>
  <c r="KR36" i="4"/>
  <c r="KK36" i="4"/>
  <c r="KO36" i="4"/>
  <c r="KS36" i="4"/>
  <c r="Q4" i="7"/>
  <c r="Q17" i="11" s="1"/>
  <c r="FI35" i="4"/>
  <c r="FM35" i="4"/>
  <c r="FQ35" i="4"/>
  <c r="FH35" i="4"/>
  <c r="FN35" i="4"/>
  <c r="S29" i="4"/>
  <c r="FJ35" i="4"/>
  <c r="FO35" i="4"/>
  <c r="FK35" i="4"/>
  <c r="FP35" i="4"/>
  <c r="FL35" i="4"/>
  <c r="FF35" i="4"/>
  <c r="FG35" i="4"/>
  <c r="L29" i="4"/>
  <c r="AB29" i="4"/>
  <c r="V29" i="4"/>
  <c r="P29" i="4"/>
  <c r="J29" i="4"/>
  <c r="Z29" i="4"/>
  <c r="W29" i="4"/>
  <c r="K29" i="4"/>
  <c r="AA29" i="4"/>
  <c r="O29" i="4"/>
  <c r="EV39" i="4" l="1"/>
  <c r="AG39" i="4"/>
  <c r="AE39" i="4"/>
  <c r="AA39" i="4"/>
  <c r="AL39" i="4"/>
  <c r="Y39" i="4"/>
  <c r="S39" i="4"/>
  <c r="O32" i="6"/>
  <c r="N33" i="6"/>
  <c r="N35" i="6" s="1"/>
  <c r="N9" i="7"/>
  <c r="M37" i="6"/>
  <c r="AH39" i="4"/>
  <c r="R39" i="4"/>
  <c r="U39" i="4"/>
  <c r="AM39" i="4"/>
  <c r="V39" i="4"/>
  <c r="AB39" i="4"/>
  <c r="T39" i="4"/>
  <c r="Z39" i="4"/>
  <c r="AI39" i="4"/>
  <c r="AN39" i="4"/>
  <c r="AK39" i="4"/>
  <c r="HG39" i="4"/>
  <c r="HP39" i="4"/>
  <c r="L8" i="11"/>
  <c r="L12" i="11" s="1"/>
  <c r="L12" i="7"/>
  <c r="AA8" i="11"/>
  <c r="AA12" i="11" s="1"/>
  <c r="AA12" i="7"/>
  <c r="Y8" i="11"/>
  <c r="Y12" i="11" s="1"/>
  <c r="Y12" i="7"/>
  <c r="P8" i="11"/>
  <c r="P12" i="11" s="1"/>
  <c r="P12" i="7"/>
  <c r="Q8" i="11"/>
  <c r="Q12" i="11" s="1"/>
  <c r="Q12" i="7"/>
  <c r="K8" i="11"/>
  <c r="K12" i="11" s="1"/>
  <c r="K12" i="7"/>
  <c r="G8" i="11"/>
  <c r="G12" i="11" s="1"/>
  <c r="G12" i="7"/>
  <c r="S8" i="11"/>
  <c r="S12" i="11" s="1"/>
  <c r="S12" i="7"/>
  <c r="FQ39" i="4"/>
  <c r="AB8" i="11"/>
  <c r="AB12" i="11" s="1"/>
  <c r="AB12" i="7"/>
  <c r="R8" i="11"/>
  <c r="R12" i="11" s="1"/>
  <c r="R12" i="7"/>
  <c r="M8" i="11"/>
  <c r="M12" i="11" s="1"/>
  <c r="M12" i="7"/>
  <c r="H8" i="11"/>
  <c r="H12" i="11" s="1"/>
  <c r="H12" i="7"/>
  <c r="I8" i="11"/>
  <c r="I12" i="11" s="1"/>
  <c r="I12" i="7"/>
  <c r="F8" i="11"/>
  <c r="F12" i="11" s="1"/>
  <c r="F12" i="7"/>
  <c r="X8" i="11"/>
  <c r="X12" i="11" s="1"/>
  <c r="X12" i="7"/>
  <c r="N8" i="11"/>
  <c r="N12" i="11" s="1"/>
  <c r="N12" i="7"/>
  <c r="T8" i="11"/>
  <c r="T12" i="11" s="1"/>
  <c r="T12" i="7"/>
  <c r="W8" i="11"/>
  <c r="W12" i="11" s="1"/>
  <c r="W12" i="7"/>
  <c r="Z8" i="11"/>
  <c r="Z12" i="11" s="1"/>
  <c r="Z12" i="7"/>
  <c r="J8" i="11"/>
  <c r="J12" i="11" s="1"/>
  <c r="J12" i="7"/>
  <c r="U8" i="11"/>
  <c r="U12" i="11" s="1"/>
  <c r="U12" i="7"/>
  <c r="W39" i="4"/>
  <c r="AC39" i="4"/>
  <c r="V8" i="11"/>
  <c r="V12" i="11" s="1"/>
  <c r="V12" i="7"/>
  <c r="O8" i="11"/>
  <c r="O12" i="11" s="1"/>
  <c r="O12" i="7"/>
  <c r="D12" i="7"/>
  <c r="D3" i="7"/>
  <c r="D8" i="11"/>
  <c r="D12" i="11" s="1"/>
  <c r="X39" i="4"/>
  <c r="D22" i="11"/>
  <c r="D21" i="11"/>
  <c r="E14" i="11"/>
  <c r="E13" i="11"/>
  <c r="Q20" i="11"/>
  <c r="J20" i="11"/>
  <c r="D20" i="11"/>
  <c r="U20" i="11"/>
  <c r="N20" i="11"/>
  <c r="Z20" i="11"/>
  <c r="H20" i="11"/>
  <c r="Y20" i="11"/>
  <c r="AB20" i="11"/>
  <c r="X20" i="11"/>
  <c r="P20" i="11"/>
  <c r="G20" i="11"/>
  <c r="M20" i="11"/>
  <c r="I20" i="11"/>
  <c r="T20" i="11"/>
  <c r="V20" i="11"/>
  <c r="O20" i="11"/>
  <c r="R20" i="11"/>
  <c r="E17" i="11"/>
  <c r="N3" i="7"/>
  <c r="N11" i="7" s="1"/>
  <c r="Y3" i="7"/>
  <c r="Y11" i="7" s="1"/>
  <c r="AB3" i="7"/>
  <c r="AB11" i="7" s="1"/>
  <c r="X3" i="7"/>
  <c r="X11" i="7" s="1"/>
  <c r="P3" i="7"/>
  <c r="P11" i="7" s="1"/>
  <c r="G3" i="7"/>
  <c r="G11" i="7" s="1"/>
  <c r="Q3" i="7"/>
  <c r="Q11" i="7" s="1"/>
  <c r="J3" i="7"/>
  <c r="J11" i="7" s="1"/>
  <c r="V3" i="7"/>
  <c r="V11" i="7" s="1"/>
  <c r="O3" i="7"/>
  <c r="O11" i="7" s="1"/>
  <c r="M3" i="7"/>
  <c r="M11" i="7" s="1"/>
  <c r="U3" i="7"/>
  <c r="U11" i="7" s="1"/>
  <c r="I3" i="7"/>
  <c r="I11" i="7" s="1"/>
  <c r="F3" i="7"/>
  <c r="F11" i="7" s="1"/>
  <c r="R3" i="7"/>
  <c r="R11" i="7" s="1"/>
  <c r="Z3" i="7"/>
  <c r="Z11" i="7" s="1"/>
  <c r="H3" i="7"/>
  <c r="H11" i="7" s="1"/>
  <c r="T3" i="7"/>
  <c r="T11" i="7" s="1"/>
  <c r="P39" i="4"/>
  <c r="FL39" i="4"/>
  <c r="FH39" i="4"/>
  <c r="AT39" i="4"/>
  <c r="JQ39" i="4"/>
  <c r="AY39" i="4"/>
  <c r="FB39" i="4"/>
  <c r="HO39" i="4"/>
  <c r="FO39" i="4"/>
  <c r="FC39" i="4"/>
  <c r="HU39" i="4"/>
  <c r="Q39" i="4"/>
  <c r="FF39" i="4"/>
  <c r="GR35" i="4"/>
  <c r="GR39" i="4" s="1"/>
  <c r="GJ35" i="4"/>
  <c r="GJ39" i="4" s="1"/>
  <c r="GV35" i="4"/>
  <c r="GV39" i="4" s="1"/>
  <c r="GI35" i="4"/>
  <c r="GI39" i="4" s="1"/>
  <c r="FK39" i="4"/>
  <c r="HA35" i="4"/>
  <c r="HA39" i="4" s="1"/>
  <c r="GO35" i="4"/>
  <c r="GO39" i="4" s="1"/>
  <c r="GW35" i="4"/>
  <c r="GW39" i="4" s="1"/>
  <c r="GH35" i="4"/>
  <c r="GG35" i="4"/>
  <c r="GG39" i="4" s="1"/>
  <c r="HQ39" i="4"/>
  <c r="GU35" i="4"/>
  <c r="GU39" i="4" s="1"/>
  <c r="GS35" i="4"/>
  <c r="GS39" i="4" s="1"/>
  <c r="GM35" i="4"/>
  <c r="GM39" i="4" s="1"/>
  <c r="S4" i="7"/>
  <c r="HN39" i="4"/>
  <c r="GY35" i="4"/>
  <c r="GY39" i="4" s="1"/>
  <c r="AZ39" i="4"/>
  <c r="GF35" i="4"/>
  <c r="GF39" i="4" s="1"/>
  <c r="U29" i="4"/>
  <c r="DA35" i="4"/>
  <c r="DA39" i="4" s="1"/>
  <c r="DF35" i="4"/>
  <c r="DF39" i="4" s="1"/>
  <c r="CX35" i="4"/>
  <c r="CX39" i="4" s="1"/>
  <c r="DE35" i="4"/>
  <c r="DE39" i="4" s="1"/>
  <c r="CY35" i="4"/>
  <c r="CY39" i="4" s="1"/>
  <c r="CZ35" i="4"/>
  <c r="CZ39" i="4" s="1"/>
  <c r="N29" i="4"/>
  <c r="DI35" i="4"/>
  <c r="DI39" i="4" s="1"/>
  <c r="DC35" i="4"/>
  <c r="DC39" i="4" s="1"/>
  <c r="DD35" i="4"/>
  <c r="DD39" i="4" s="1"/>
  <c r="KE35" i="4"/>
  <c r="KE39" i="4" s="1"/>
  <c r="JZ35" i="4"/>
  <c r="JZ39" i="4" s="1"/>
  <c r="JX35" i="4"/>
  <c r="JX39" i="4" s="1"/>
  <c r="AA4" i="7"/>
  <c r="JY35" i="4"/>
  <c r="JY39" i="4" s="1"/>
  <c r="JV35" i="4"/>
  <c r="JV39" i="4" s="1"/>
  <c r="KF35" i="4"/>
  <c r="KF39" i="4" s="1"/>
  <c r="AC29" i="4"/>
  <c r="JW35" i="4"/>
  <c r="JW39" i="4" s="1"/>
  <c r="KC35" i="4"/>
  <c r="KC39" i="4" s="1"/>
  <c r="KB35" i="4"/>
  <c r="KB39" i="4" s="1"/>
  <c r="II35" i="4"/>
  <c r="ID35" i="4"/>
  <c r="ID39" i="4" s="1"/>
  <c r="IJ35" i="4"/>
  <c r="IJ39" i="4" s="1"/>
  <c r="W4" i="7"/>
  <c r="IC35" i="4"/>
  <c r="IC39" i="4" s="1"/>
  <c r="HZ35" i="4"/>
  <c r="IB35" i="4"/>
  <c r="IB39" i="4" s="1"/>
  <c r="Y29" i="4"/>
  <c r="IK35" i="4"/>
  <c r="IK39" i="4" s="1"/>
  <c r="DB35" i="4"/>
  <c r="DB39" i="4" s="1"/>
  <c r="KD35" i="4"/>
  <c r="KD39" i="4" s="1"/>
  <c r="L4" i="7"/>
  <c r="KG35" i="4"/>
  <c r="KG39" i="4" s="1"/>
  <c r="DH35" i="4"/>
  <c r="DH39" i="4" s="1"/>
  <c r="CC39" i="4"/>
  <c r="GH39" i="4"/>
  <c r="GD39" i="4"/>
  <c r="HV39" i="4"/>
  <c r="AR35" i="4"/>
  <c r="AR39" i="4" s="1"/>
  <c r="AU35" i="4"/>
  <c r="AU39" i="4" s="1"/>
  <c r="AS35" i="4"/>
  <c r="AS39" i="4" s="1"/>
  <c r="JR39" i="4"/>
  <c r="FD35" i="4"/>
  <c r="FD39" i="4" s="1"/>
  <c r="EX35" i="4"/>
  <c r="EX39" i="4" s="1"/>
  <c r="FE35" i="4"/>
  <c r="FE39" i="4" s="1"/>
  <c r="EW35" i="4"/>
  <c r="EW39" i="4" s="1"/>
  <c r="HK39" i="4"/>
  <c r="CR35" i="4"/>
  <c r="CR39" i="4" s="1"/>
  <c r="CN35" i="4"/>
  <c r="CN39" i="4" s="1"/>
  <c r="CM35" i="4"/>
  <c r="CM39" i="4" s="1"/>
  <c r="K4" i="7"/>
  <c r="EJ35" i="4"/>
  <c r="EJ39" i="4" s="1"/>
  <c r="EH35" i="4"/>
  <c r="EH39" i="4" s="1"/>
  <c r="EO35" i="4"/>
  <c r="EO39" i="4" s="1"/>
  <c r="M29" i="4"/>
  <c r="I29" i="4"/>
  <c r="GZ35" i="4"/>
  <c r="GZ39" i="4" s="1"/>
  <c r="GX35" i="4"/>
  <c r="GX39" i="4" s="1"/>
  <c r="GQ35" i="4"/>
  <c r="GQ39" i="4" s="1"/>
  <c r="AP35" i="4"/>
  <c r="AP39" i="4" s="1"/>
  <c r="AV35" i="4"/>
  <c r="AV39" i="4" s="1"/>
  <c r="AQ35" i="4"/>
  <c r="AQ39" i="4" s="1"/>
  <c r="JN39" i="4"/>
  <c r="JU39" i="4"/>
  <c r="CB39" i="4"/>
  <c r="CD39" i="4"/>
  <c r="EY35" i="4"/>
  <c r="EY39" i="4" s="1"/>
  <c r="ET35" i="4"/>
  <c r="ET39" i="4" s="1"/>
  <c r="EZ35" i="4"/>
  <c r="EZ39" i="4" s="1"/>
  <c r="GL35" i="4"/>
  <c r="GL39" i="4" s="1"/>
  <c r="GE35" i="4"/>
  <c r="GE39" i="4" s="1"/>
  <c r="HF39" i="4"/>
  <c r="HI39" i="4"/>
  <c r="CL35" i="4"/>
  <c r="CL39" i="4" s="1"/>
  <c r="CT35" i="4"/>
  <c r="CT39" i="4" s="1"/>
  <c r="EQ35" i="4"/>
  <c r="EQ39" i="4" s="1"/>
  <c r="EP35" i="4"/>
  <c r="EP39" i="4" s="1"/>
  <c r="IP35" i="4"/>
  <c r="IP39" i="4" s="1"/>
  <c r="IW35" i="4"/>
  <c r="IW39" i="4" s="1"/>
  <c r="FJ39" i="4"/>
  <c r="II39" i="4"/>
  <c r="FP39" i="4"/>
  <c r="IH39" i="4"/>
  <c r="AX39" i="4"/>
  <c r="JK39" i="4"/>
  <c r="CG39" i="4"/>
  <c r="GN39" i="4"/>
  <c r="HT39" i="4"/>
  <c r="GT39" i="4"/>
  <c r="HZ39" i="4"/>
  <c r="JS39" i="4"/>
  <c r="HB39" i="4"/>
  <c r="JA39" i="4"/>
  <c r="IE39" i="4"/>
  <c r="BA39" i="4"/>
  <c r="JT39" i="4"/>
  <c r="CH39" i="4"/>
  <c r="CI39" i="4"/>
  <c r="DP39" i="4"/>
  <c r="DO39" i="4"/>
  <c r="EU39" i="4"/>
  <c r="BH39" i="4"/>
  <c r="BE39" i="4"/>
  <c r="HL39" i="4"/>
  <c r="IO39" i="4"/>
  <c r="EF39" i="4"/>
  <c r="BG39" i="4"/>
  <c r="KA39" i="4"/>
  <c r="BQ39" i="4"/>
  <c r="KK39" i="4"/>
  <c r="FA39" i="4"/>
  <c r="F39" i="4"/>
  <c r="I39" i="4"/>
  <c r="L39" i="4"/>
  <c r="DW39" i="4"/>
  <c r="IF39" i="4"/>
  <c r="AW39" i="4"/>
  <c r="JP39" i="4"/>
  <c r="CE39" i="4"/>
  <c r="HE39" i="4"/>
  <c r="JH39" i="4"/>
  <c r="BX39" i="4"/>
  <c r="N39" i="4"/>
  <c r="K39" i="4"/>
  <c r="JJ39" i="4"/>
  <c r="CJ39" i="4"/>
  <c r="BZ39" i="4"/>
  <c r="CA39" i="4"/>
  <c r="DT39" i="4"/>
  <c r="HR39" i="4"/>
  <c r="HY39" i="4"/>
  <c r="HS39" i="4"/>
  <c r="BM39" i="4"/>
  <c r="HH39" i="4"/>
  <c r="IN39" i="4"/>
  <c r="IA39" i="4"/>
  <c r="IX39" i="4"/>
  <c r="BS39" i="4"/>
  <c r="KN39" i="4"/>
  <c r="EK39" i="4"/>
  <c r="FN39" i="4"/>
  <c r="FI39" i="4"/>
  <c r="G39" i="4"/>
  <c r="JO39" i="4"/>
  <c r="CK39" i="4"/>
  <c r="GK39" i="4"/>
  <c r="HX39" i="4"/>
  <c r="HC39" i="4"/>
  <c r="HM39" i="4"/>
  <c r="JF39" i="4"/>
  <c r="JI39" i="4"/>
  <c r="JC39" i="4"/>
  <c r="BV39" i="4"/>
  <c r="BY39" i="4"/>
  <c r="DN39" i="4"/>
  <c r="KJ39" i="4"/>
  <c r="FX39" i="4"/>
  <c r="GA39" i="4"/>
  <c r="FU39" i="4"/>
  <c r="IR39" i="4"/>
  <c r="EG39" i="4"/>
  <c r="GP39" i="4"/>
  <c r="H39" i="4"/>
  <c r="O39" i="4"/>
  <c r="IG39" i="4"/>
  <c r="JL39" i="4"/>
  <c r="JM39" i="4"/>
  <c r="CF39" i="4"/>
  <c r="DL39" i="4"/>
  <c r="DK39" i="4"/>
  <c r="DU39" i="4"/>
  <c r="HW39" i="4"/>
  <c r="BL39" i="4"/>
  <c r="BB39" i="4"/>
  <c r="BC39" i="4"/>
  <c r="CW39" i="4"/>
  <c r="IZ39" i="4"/>
  <c r="JB39" i="4"/>
  <c r="JG39" i="4"/>
  <c r="BN39" i="4"/>
  <c r="BP39" i="4"/>
  <c r="BO39" i="4"/>
  <c r="KH39" i="4"/>
  <c r="KP39" i="4"/>
  <c r="KQ39" i="4"/>
  <c r="DG39" i="4"/>
  <c r="ER39" i="4"/>
  <c r="EM39" i="4"/>
  <c r="EL39" i="4"/>
  <c r="FZ39" i="4"/>
  <c r="FS39" i="4"/>
  <c r="FV39" i="4"/>
  <c r="IL39" i="4"/>
  <c r="IT39" i="4"/>
  <c r="IU39" i="4"/>
  <c r="EB39" i="4"/>
  <c r="DV39" i="4"/>
  <c r="EC39" i="4"/>
  <c r="DJ39" i="4"/>
  <c r="BD39" i="4"/>
  <c r="BF39" i="4"/>
  <c r="HJ39" i="4"/>
  <c r="CP39" i="4"/>
  <c r="CU39" i="4"/>
  <c r="CS39" i="4"/>
  <c r="BR39" i="4"/>
  <c r="KL39" i="4"/>
  <c r="KS39" i="4"/>
  <c r="KM39" i="4"/>
  <c r="EN39" i="4"/>
  <c r="EI39" i="4"/>
  <c r="ES39" i="4"/>
  <c r="FT39" i="4"/>
  <c r="GB39" i="4"/>
  <c r="GC39" i="4"/>
  <c r="IQ39" i="4"/>
  <c r="EE39" i="4"/>
  <c r="ED39" i="4"/>
  <c r="DY39" i="4"/>
  <c r="FM39" i="4"/>
  <c r="DQ39" i="4"/>
  <c r="FG39" i="4"/>
  <c r="J39" i="4"/>
  <c r="M39" i="4"/>
  <c r="DS39" i="4"/>
  <c r="DR39" i="4"/>
  <c r="DM39" i="4"/>
  <c r="BJ39" i="4"/>
  <c r="BK39" i="4"/>
  <c r="BI39" i="4"/>
  <c r="HD39" i="4"/>
  <c r="CV39" i="4"/>
  <c r="CQ39" i="4"/>
  <c r="CO39" i="4"/>
  <c r="JD39" i="4"/>
  <c r="JE39" i="4"/>
  <c r="IY39" i="4"/>
  <c r="BT39" i="4"/>
  <c r="BW39" i="4"/>
  <c r="BU39" i="4"/>
  <c r="KR39" i="4"/>
  <c r="KO39" i="4"/>
  <c r="KI39" i="4"/>
  <c r="FR39" i="4"/>
  <c r="FW39" i="4"/>
  <c r="FY39" i="4"/>
  <c r="IV39" i="4"/>
  <c r="IS39" i="4"/>
  <c r="IM39" i="4"/>
  <c r="DX39" i="4"/>
  <c r="EA39" i="4"/>
  <c r="DZ39" i="4"/>
  <c r="P32" i="6" l="1"/>
  <c r="O33" i="6"/>
  <c r="O35" i="6" s="1"/>
  <c r="O9" i="7"/>
  <c r="N37" i="6"/>
  <c r="D11" i="7"/>
  <c r="D14" i="11"/>
  <c r="E15" i="11"/>
  <c r="D13" i="11"/>
  <c r="E21" i="11"/>
  <c r="E22" i="11"/>
  <c r="F21" i="11"/>
  <c r="F13" i="11"/>
  <c r="F22" i="11"/>
  <c r="F14" i="11"/>
  <c r="E20" i="11"/>
  <c r="AA3" i="7"/>
  <c r="AA11" i="7" s="1"/>
  <c r="AA17" i="11"/>
  <c r="K3" i="7"/>
  <c r="K11" i="7" s="1"/>
  <c r="K17" i="11"/>
  <c r="S3" i="7"/>
  <c r="S11" i="7" s="1"/>
  <c r="S17" i="11"/>
  <c r="D23" i="11"/>
  <c r="L3" i="7"/>
  <c r="L11" i="7" s="1"/>
  <c r="L17" i="11"/>
  <c r="W3" i="7"/>
  <c r="W11" i="7" s="1"/>
  <c r="W17" i="11"/>
  <c r="Q32" i="6" l="1"/>
  <c r="P33" i="6"/>
  <c r="P35" i="6" s="1"/>
  <c r="P9" i="7"/>
  <c r="O37" i="6"/>
  <c r="F15" i="11"/>
  <c r="D15" i="11"/>
  <c r="D24" i="11" s="1"/>
  <c r="D10" i="7" s="1"/>
  <c r="F23" i="11"/>
  <c r="G22" i="11"/>
  <c r="G14" i="11"/>
  <c r="G21" i="11"/>
  <c r="G13" i="11"/>
  <c r="K20" i="11"/>
  <c r="W20" i="11"/>
  <c r="L20" i="11"/>
  <c r="S20" i="11"/>
  <c r="AA20" i="11"/>
  <c r="E23" i="11"/>
  <c r="E24" i="11" s="1"/>
  <c r="E10" i="7" s="1"/>
  <c r="R32" i="6" l="1"/>
  <c r="Q33" i="6"/>
  <c r="Q35" i="6" s="1"/>
  <c r="Q9" i="7"/>
  <c r="P37" i="6"/>
  <c r="D8" i="15"/>
  <c r="D23" i="15" s="1"/>
  <c r="D8" i="7"/>
  <c r="D13" i="7" s="1"/>
  <c r="E8" i="15"/>
  <c r="E11" i="15" s="1"/>
  <c r="E8" i="7"/>
  <c r="G23" i="11"/>
  <c r="G15" i="11"/>
  <c r="F24" i="11"/>
  <c r="F10" i="7" s="1"/>
  <c r="F8" i="15" s="1"/>
  <c r="F23" i="15" s="1"/>
  <c r="H21" i="11"/>
  <c r="H13" i="11"/>
  <c r="H22" i="11"/>
  <c r="H14" i="11"/>
  <c r="S32" i="6" l="1"/>
  <c r="R33" i="6"/>
  <c r="R35" i="6" s="1"/>
  <c r="Q37" i="6"/>
  <c r="R9" i="7"/>
  <c r="D11" i="15"/>
  <c r="E23" i="15"/>
  <c r="G24" i="11"/>
  <c r="G10" i="7" s="1"/>
  <c r="G8" i="15" s="1"/>
  <c r="G23" i="15" s="1"/>
  <c r="F11" i="15"/>
  <c r="I22" i="11"/>
  <c r="I14" i="11"/>
  <c r="I21" i="11"/>
  <c r="I13" i="11"/>
  <c r="H15" i="11"/>
  <c r="H23" i="11"/>
  <c r="T32" i="6" l="1"/>
  <c r="S33" i="6"/>
  <c r="S35" i="6" s="1"/>
  <c r="R37" i="6"/>
  <c r="S9" i="7"/>
  <c r="G11" i="15"/>
  <c r="I23" i="11"/>
  <c r="H24" i="11"/>
  <c r="H10" i="7" s="1"/>
  <c r="H8" i="15" s="1"/>
  <c r="H11" i="15" s="1"/>
  <c r="I15" i="11"/>
  <c r="J21" i="11"/>
  <c r="J13" i="11"/>
  <c r="J22" i="11"/>
  <c r="J14" i="11"/>
  <c r="S37" i="6" l="1"/>
  <c r="T9" i="7"/>
  <c r="U32" i="6"/>
  <c r="T33" i="6"/>
  <c r="T35" i="6" s="1"/>
  <c r="H23" i="15"/>
  <c r="I24" i="11"/>
  <c r="I10" i="7" s="1"/>
  <c r="I8" i="15" s="1"/>
  <c r="I11" i="15" s="1"/>
  <c r="J23" i="11"/>
  <c r="K22" i="11"/>
  <c r="K14" i="11"/>
  <c r="K21" i="11"/>
  <c r="K13" i="11"/>
  <c r="J15" i="11"/>
  <c r="V32" i="6" l="1"/>
  <c r="U33" i="6"/>
  <c r="U35" i="6" s="1"/>
  <c r="U9" i="7"/>
  <c r="T37" i="6"/>
  <c r="I23" i="15"/>
  <c r="K15" i="11"/>
  <c r="K23" i="11"/>
  <c r="J24" i="11"/>
  <c r="J10" i="7" s="1"/>
  <c r="J8" i="15" s="1"/>
  <c r="J11" i="15" s="1"/>
  <c r="L21" i="11"/>
  <c r="L13" i="11"/>
  <c r="L22" i="11"/>
  <c r="L14" i="11"/>
  <c r="W32" i="6" l="1"/>
  <c r="V33" i="6"/>
  <c r="V35" i="6" s="1"/>
  <c r="V9" i="7"/>
  <c r="U37" i="6"/>
  <c r="K24" i="11"/>
  <c r="K10" i="7" s="1"/>
  <c r="K8" i="15" s="1"/>
  <c r="K11" i="15" s="1"/>
  <c r="J23" i="15"/>
  <c r="M22" i="11"/>
  <c r="M14" i="11"/>
  <c r="M21" i="11"/>
  <c r="M13" i="11"/>
  <c r="L23" i="11"/>
  <c r="L15" i="11"/>
  <c r="X32" i="6" l="1"/>
  <c r="W33" i="6"/>
  <c r="W35" i="6" s="1"/>
  <c r="V37" i="6"/>
  <c r="W9" i="7"/>
  <c r="K23" i="15"/>
  <c r="M23" i="11"/>
  <c r="M15" i="11"/>
  <c r="L24" i="11"/>
  <c r="L10" i="7" s="1"/>
  <c r="L8" i="15" s="1"/>
  <c r="N21" i="11"/>
  <c r="N22" i="11"/>
  <c r="N13" i="11"/>
  <c r="N14" i="11"/>
  <c r="Y32" i="6" l="1"/>
  <c r="X33" i="6"/>
  <c r="X35" i="6" s="1"/>
  <c r="X9" i="7"/>
  <c r="W37" i="6"/>
  <c r="M24" i="11"/>
  <c r="M10" i="7" s="1"/>
  <c r="M8" i="15" s="1"/>
  <c r="M11" i="15" s="1"/>
  <c r="N23" i="11"/>
  <c r="N15" i="11"/>
  <c r="O21" i="11"/>
  <c r="O13" i="11"/>
  <c r="O22" i="11"/>
  <c r="O14" i="11"/>
  <c r="L11" i="15"/>
  <c r="L23" i="15"/>
  <c r="Z32" i="6" l="1"/>
  <c r="Y33" i="6"/>
  <c r="Y35" i="6" s="1"/>
  <c r="Y9" i="7"/>
  <c r="X37" i="6"/>
  <c r="M23" i="15"/>
  <c r="N24" i="11"/>
  <c r="N10" i="7" s="1"/>
  <c r="N8" i="15" s="1"/>
  <c r="N23" i="15" s="1"/>
  <c r="O15" i="11"/>
  <c r="P22" i="11"/>
  <c r="P14" i="11"/>
  <c r="P21" i="11"/>
  <c r="P13" i="11"/>
  <c r="O23" i="11"/>
  <c r="AA32" i="6" l="1"/>
  <c r="AA33" i="6" s="1"/>
  <c r="AA35" i="6" s="1"/>
  <c r="Z33" i="6"/>
  <c r="Z35" i="6" s="1"/>
  <c r="Z9" i="7"/>
  <c r="Y37" i="6"/>
  <c r="N11" i="15"/>
  <c r="P23" i="11"/>
  <c r="P15" i="11"/>
  <c r="Q21" i="11"/>
  <c r="Q13" i="11"/>
  <c r="Q22" i="11"/>
  <c r="Q14" i="11"/>
  <c r="O24" i="11"/>
  <c r="O10" i="7" s="1"/>
  <c r="O8" i="15" s="1"/>
  <c r="AA37" i="6" l="1"/>
  <c r="AB9" i="7"/>
  <c r="AA9" i="7"/>
  <c r="Z37" i="6"/>
  <c r="P24" i="11"/>
  <c r="P10" i="7" s="1"/>
  <c r="P8" i="15" s="1"/>
  <c r="P23" i="15" s="1"/>
  <c r="O11" i="15"/>
  <c r="O23" i="15"/>
  <c r="Q23" i="11"/>
  <c r="R22" i="11"/>
  <c r="R14" i="11"/>
  <c r="R21" i="11"/>
  <c r="R13" i="11"/>
  <c r="Q15" i="11"/>
  <c r="R15" i="11" l="1"/>
  <c r="R23" i="11"/>
  <c r="P11" i="15"/>
  <c r="Q24" i="11"/>
  <c r="Q10" i="7" s="1"/>
  <c r="Q8" i="15" s="1"/>
  <c r="Q23" i="15" s="1"/>
  <c r="S21" i="11"/>
  <c r="S13" i="11"/>
  <c r="S22" i="11"/>
  <c r="S14" i="11"/>
  <c r="R24" i="11" l="1"/>
  <c r="R10" i="7" s="1"/>
  <c r="R8" i="15" s="1"/>
  <c r="R23" i="15" s="1"/>
  <c r="Q11" i="15"/>
  <c r="S15" i="11"/>
  <c r="T22" i="11"/>
  <c r="T14" i="11"/>
  <c r="T21" i="11"/>
  <c r="T13" i="11"/>
  <c r="S23" i="11"/>
  <c r="R11" i="15" l="1"/>
  <c r="T15" i="11"/>
  <c r="T23" i="11"/>
  <c r="S24" i="11"/>
  <c r="S10" i="7" s="1"/>
  <c r="S8" i="15" s="1"/>
  <c r="S11" i="15" s="1"/>
  <c r="U21" i="11"/>
  <c r="U13" i="11"/>
  <c r="U22" i="11"/>
  <c r="U14" i="11"/>
  <c r="T24" i="11" l="1"/>
  <c r="T10" i="7" s="1"/>
  <c r="T8" i="15" s="1"/>
  <c r="T11" i="15" s="1"/>
  <c r="S23" i="15"/>
  <c r="V22" i="11"/>
  <c r="V14" i="11"/>
  <c r="V21" i="11"/>
  <c r="V13" i="11"/>
  <c r="U15" i="11"/>
  <c r="U23" i="11"/>
  <c r="T23" i="15" l="1"/>
  <c r="V15" i="11"/>
  <c r="V23" i="11"/>
  <c r="W21" i="11"/>
  <c r="W13" i="11"/>
  <c r="W22" i="11"/>
  <c r="W14" i="11"/>
  <c r="U24" i="11"/>
  <c r="U10" i="7" s="1"/>
  <c r="U8" i="15" s="1"/>
  <c r="V24" i="11" l="1"/>
  <c r="V10" i="7" s="1"/>
  <c r="V8" i="15" s="1"/>
  <c r="V11" i="15" s="1"/>
  <c r="U23" i="15"/>
  <c r="U11" i="15"/>
  <c r="W23" i="11"/>
  <c r="W15" i="11"/>
  <c r="X22" i="11"/>
  <c r="X14" i="11"/>
  <c r="X21" i="11"/>
  <c r="X13" i="11"/>
  <c r="V23" i="15" l="1"/>
  <c r="X15" i="11"/>
  <c r="W24" i="11"/>
  <c r="W10" i="7" s="1"/>
  <c r="W8" i="15" s="1"/>
  <c r="W23" i="15" s="1"/>
  <c r="X23" i="11"/>
  <c r="Y21" i="11"/>
  <c r="Y13" i="11"/>
  <c r="Y22" i="11"/>
  <c r="Y14" i="11"/>
  <c r="X24" i="11" l="1"/>
  <c r="X10" i="7" s="1"/>
  <c r="X8" i="15" s="1"/>
  <c r="X11" i="15" s="1"/>
  <c r="W11" i="15"/>
  <c r="Y23" i="11"/>
  <c r="Z22" i="11"/>
  <c r="Z14" i="11"/>
  <c r="Z21" i="11"/>
  <c r="Z13" i="11"/>
  <c r="Y15" i="11"/>
  <c r="Z15" i="11" l="1"/>
  <c r="X23" i="15"/>
  <c r="Z23" i="11"/>
  <c r="Y24" i="11"/>
  <c r="Y10" i="7" s="1"/>
  <c r="Y8" i="15" s="1"/>
  <c r="AA21" i="11"/>
  <c r="AA13" i="11"/>
  <c r="AA22" i="11"/>
  <c r="AA14" i="11"/>
  <c r="Z24" i="11" l="1"/>
  <c r="Z10" i="7" s="1"/>
  <c r="Z8" i="15" s="1"/>
  <c r="Z23" i="15" s="1"/>
  <c r="AB22" i="11"/>
  <c r="AB14" i="11"/>
  <c r="AB21" i="11"/>
  <c r="AB13" i="11"/>
  <c r="Y11" i="15"/>
  <c r="Y23" i="15"/>
  <c r="AA15" i="11"/>
  <c r="AA23" i="11"/>
  <c r="A7" i="4"/>
  <c r="A6" i="4"/>
  <c r="Z11" i="15" l="1"/>
  <c r="AB23" i="11"/>
  <c r="AB15" i="11"/>
  <c r="AA24" i="11"/>
  <c r="AA10" i="7" s="1"/>
  <c r="AA8" i="15" s="1"/>
  <c r="AA11" i="15" s="1"/>
  <c r="Q20" i="3"/>
  <c r="R14" i="3"/>
  <c r="R15" i="3"/>
  <c r="R16" i="3"/>
  <c r="R17" i="3"/>
  <c r="R18" i="3"/>
  <c r="R19" i="3"/>
  <c r="C47" i="3"/>
  <c r="AB24" i="11" l="1"/>
  <c r="AB10" i="7" s="1"/>
  <c r="AB8" i="15" s="1"/>
  <c r="AB11" i="15" s="1"/>
  <c r="AA23" i="15"/>
  <c r="R20" i="3"/>
  <c r="C5" i="3"/>
  <c r="AB23" i="15" l="1"/>
  <c r="D47" i="3"/>
  <c r="C6" i="3"/>
  <c r="F14" i="3"/>
  <c r="F18" i="3"/>
  <c r="F22" i="3"/>
  <c r="F26" i="3"/>
  <c r="F30" i="3"/>
  <c r="F34" i="3"/>
  <c r="F11" i="3"/>
  <c r="F15" i="3"/>
  <c r="F19" i="3"/>
  <c r="F23" i="3"/>
  <c r="F27" i="3"/>
  <c r="F35" i="3"/>
  <c r="F31" i="3"/>
  <c r="F12" i="3"/>
  <c r="F16" i="3"/>
  <c r="F20" i="3"/>
  <c r="F24" i="3"/>
  <c r="F28" i="3"/>
  <c r="F32" i="3"/>
  <c r="F36" i="3"/>
  <c r="F13" i="3"/>
  <c r="F17" i="3"/>
  <c r="F21" i="3"/>
  <c r="F25" i="3"/>
  <c r="F29" i="3"/>
  <c r="F33" i="3"/>
  <c r="F37" i="3"/>
  <c r="E37" i="3" s="1"/>
  <c r="C38" i="3"/>
  <c r="D38" i="3" s="1"/>
  <c r="F38" i="3" s="1"/>
  <c r="E33" i="3" l="1"/>
  <c r="I33" i="3" s="1"/>
  <c r="J33" i="3"/>
  <c r="E17" i="3"/>
  <c r="I17" i="3" s="1"/>
  <c r="J17" i="3"/>
  <c r="E28" i="3"/>
  <c r="I28" i="3" s="1"/>
  <c r="J28" i="3"/>
  <c r="E12" i="3"/>
  <c r="I12" i="3" s="1"/>
  <c r="J12" i="3"/>
  <c r="E23" i="3"/>
  <c r="I23" i="3" s="1"/>
  <c r="J23" i="3"/>
  <c r="E34" i="3"/>
  <c r="I34" i="3" s="1"/>
  <c r="J34" i="3"/>
  <c r="E18" i="3"/>
  <c r="I18" i="3" s="1"/>
  <c r="J18" i="3"/>
  <c r="E29" i="3"/>
  <c r="I29" i="3" s="1"/>
  <c r="J29" i="3"/>
  <c r="E13" i="3"/>
  <c r="I13" i="3" s="1"/>
  <c r="J13" i="3"/>
  <c r="E24" i="3"/>
  <c r="I24" i="3" s="1"/>
  <c r="J24" i="3"/>
  <c r="E31" i="3"/>
  <c r="I31" i="3" s="1"/>
  <c r="F44" i="3" s="1"/>
  <c r="F47" i="3" s="1"/>
  <c r="J31" i="3"/>
  <c r="E19" i="3"/>
  <c r="I19" i="3" s="1"/>
  <c r="J19" i="3"/>
  <c r="E30" i="3"/>
  <c r="I30" i="3" s="1"/>
  <c r="J30" i="3"/>
  <c r="E14" i="3"/>
  <c r="I14" i="3" s="1"/>
  <c r="J14" i="3"/>
  <c r="E25" i="3"/>
  <c r="I25" i="3" s="1"/>
  <c r="J25" i="3"/>
  <c r="E36" i="3"/>
  <c r="I36" i="3" s="1"/>
  <c r="J36" i="3"/>
  <c r="E20" i="3"/>
  <c r="I20" i="3" s="1"/>
  <c r="J20" i="3"/>
  <c r="E35" i="3"/>
  <c r="I35" i="3" s="1"/>
  <c r="J35" i="3"/>
  <c r="E15" i="3"/>
  <c r="I15" i="3" s="1"/>
  <c r="J15" i="3"/>
  <c r="E26" i="3"/>
  <c r="I26" i="3" s="1"/>
  <c r="J26" i="3"/>
  <c r="D13" i="3"/>
  <c r="H13" i="3" s="1"/>
  <c r="D17" i="3"/>
  <c r="H17" i="3" s="1"/>
  <c r="D21" i="3"/>
  <c r="H21" i="3" s="1"/>
  <c r="D25" i="3"/>
  <c r="H25" i="3" s="1"/>
  <c r="D29" i="3"/>
  <c r="H29" i="3" s="1"/>
  <c r="D33" i="3"/>
  <c r="H33" i="3" s="1"/>
  <c r="D37" i="3"/>
  <c r="D14" i="3"/>
  <c r="H14" i="3" s="1"/>
  <c r="D18" i="3"/>
  <c r="H18" i="3" s="1"/>
  <c r="D22" i="3"/>
  <c r="H22" i="3" s="1"/>
  <c r="D26" i="3"/>
  <c r="H26" i="3" s="1"/>
  <c r="D30" i="3"/>
  <c r="H30" i="3" s="1"/>
  <c r="D11" i="3"/>
  <c r="H11" i="3" s="1"/>
  <c r="D34" i="3"/>
  <c r="H34" i="3" s="1"/>
  <c r="D15" i="3"/>
  <c r="H15" i="3" s="1"/>
  <c r="D19" i="3"/>
  <c r="H19" i="3" s="1"/>
  <c r="D23" i="3"/>
  <c r="H23" i="3" s="1"/>
  <c r="D27" i="3"/>
  <c r="H27" i="3" s="1"/>
  <c r="D31" i="3"/>
  <c r="H31" i="3" s="1"/>
  <c r="D35" i="3"/>
  <c r="H35" i="3" s="1"/>
  <c r="D12" i="3"/>
  <c r="H12" i="3" s="1"/>
  <c r="D16" i="3"/>
  <c r="H16" i="3" s="1"/>
  <c r="D20" i="3"/>
  <c r="H20" i="3" s="1"/>
  <c r="D24" i="3"/>
  <c r="H24" i="3" s="1"/>
  <c r="D28" i="3"/>
  <c r="H28" i="3" s="1"/>
  <c r="D32" i="3"/>
  <c r="H32" i="3" s="1"/>
  <c r="D36" i="3"/>
  <c r="H36" i="3" s="1"/>
  <c r="E21" i="3"/>
  <c r="I21" i="3" s="1"/>
  <c r="J21" i="3"/>
  <c r="E32" i="3"/>
  <c r="I32" i="3" s="1"/>
  <c r="J32" i="3"/>
  <c r="E16" i="3"/>
  <c r="I16" i="3" s="1"/>
  <c r="J16" i="3"/>
  <c r="E27" i="3"/>
  <c r="I27" i="3" s="1"/>
  <c r="J27" i="3"/>
  <c r="J11" i="3"/>
  <c r="E11" i="3"/>
  <c r="I11" i="3" s="1"/>
  <c r="E22" i="3"/>
  <c r="I22" i="3" s="1"/>
  <c r="J22" i="3"/>
  <c r="D44" i="3"/>
  <c r="E44" i="3" s="1"/>
  <c r="D6" i="4" s="1"/>
  <c r="D45" i="3"/>
  <c r="E38" i="3"/>
  <c r="D46" i="3"/>
  <c r="E46" i="3" s="1"/>
  <c r="D9" i="4" s="1"/>
  <c r="E45" i="3" l="1"/>
  <c r="D7" i="4" s="1"/>
  <c r="C13" i="7"/>
  <c r="C17" i="7" s="1"/>
  <c r="X9" i="15"/>
  <c r="N9" i="15"/>
  <c r="P9" i="15"/>
  <c r="Z9" i="15"/>
  <c r="G9" i="15"/>
  <c r="F9" i="15"/>
  <c r="J9" i="15"/>
  <c r="S9" i="15"/>
  <c r="D9" i="15"/>
  <c r="V9" i="15"/>
  <c r="H9" i="15"/>
  <c r="O9" i="15"/>
  <c r="I9" i="15"/>
  <c r="Y9" i="15"/>
  <c r="AB9" i="15"/>
  <c r="M9" i="15"/>
  <c r="L9" i="15"/>
  <c r="K9" i="15"/>
  <c r="E9" i="15"/>
  <c r="AA9" i="15"/>
  <c r="T9" i="15"/>
  <c r="R9" i="15"/>
  <c r="W9" i="15"/>
  <c r="U9" i="15"/>
  <c r="Q9" i="15"/>
  <c r="E47" i="3" l="1"/>
  <c r="D5" i="4" s="1"/>
  <c r="D14" i="15"/>
  <c r="D29" i="15"/>
  <c r="D32" i="15"/>
  <c r="D38" i="15"/>
  <c r="D20" i="15"/>
  <c r="D35" i="15"/>
  <c r="D17" i="15"/>
  <c r="T38" i="15"/>
  <c r="T29" i="15"/>
  <c r="T35" i="15"/>
  <c r="T32" i="15"/>
  <c r="T20" i="15"/>
  <c r="T17" i="15"/>
  <c r="T14" i="15"/>
  <c r="Z35" i="15"/>
  <c r="Z38" i="15"/>
  <c r="Z29" i="15"/>
  <c r="Z32" i="15"/>
  <c r="Z17" i="15"/>
  <c r="Z20" i="15"/>
  <c r="Z14" i="15"/>
  <c r="Y29" i="15"/>
  <c r="Y32" i="15"/>
  <c r="Y38" i="15"/>
  <c r="Y35" i="15"/>
  <c r="Y17" i="15"/>
  <c r="Y14" i="15"/>
  <c r="Y20" i="15"/>
  <c r="P38" i="15"/>
  <c r="P35" i="15"/>
  <c r="P32" i="15"/>
  <c r="P29" i="15"/>
  <c r="P20" i="15"/>
  <c r="P17" i="15"/>
  <c r="P14" i="15"/>
  <c r="AA35" i="15"/>
  <c r="AA38" i="15"/>
  <c r="AA32" i="15"/>
  <c r="AA29" i="15"/>
  <c r="AA14" i="15"/>
  <c r="AA17" i="15"/>
  <c r="AA20" i="15"/>
  <c r="V35" i="15"/>
  <c r="V38" i="15"/>
  <c r="V32" i="15"/>
  <c r="V29" i="15"/>
  <c r="V17" i="15"/>
  <c r="V20" i="15"/>
  <c r="V14" i="15"/>
  <c r="N32" i="15"/>
  <c r="N35" i="15"/>
  <c r="N29" i="15"/>
  <c r="N38" i="15"/>
  <c r="N17" i="15"/>
  <c r="N20" i="15"/>
  <c r="N14" i="15"/>
  <c r="Q29" i="15"/>
  <c r="Q32" i="15"/>
  <c r="Q35" i="15"/>
  <c r="Q38" i="15"/>
  <c r="Q14" i="15"/>
  <c r="Q20" i="15"/>
  <c r="Q17" i="15"/>
  <c r="X29" i="15"/>
  <c r="X35" i="15"/>
  <c r="X38" i="15"/>
  <c r="X32" i="15"/>
  <c r="X20" i="15"/>
  <c r="X14" i="15"/>
  <c r="X17" i="15"/>
  <c r="R35" i="15"/>
  <c r="R29" i="15"/>
  <c r="R38" i="15"/>
  <c r="R32" i="15"/>
  <c r="R14" i="15"/>
  <c r="R17" i="15"/>
  <c r="R20" i="15"/>
  <c r="O29" i="15"/>
  <c r="O35" i="15"/>
  <c r="O32" i="15"/>
  <c r="O38" i="15"/>
  <c r="O17" i="15"/>
  <c r="O14" i="15"/>
  <c r="O20" i="15"/>
  <c r="U29" i="15"/>
  <c r="U32" i="15"/>
  <c r="U38" i="15"/>
  <c r="U35" i="15"/>
  <c r="U17" i="15"/>
  <c r="U20" i="15"/>
  <c r="U14" i="15"/>
  <c r="M29" i="15"/>
  <c r="M20" i="15"/>
  <c r="M32" i="15"/>
  <c r="M17" i="15"/>
  <c r="M14" i="15"/>
  <c r="M35" i="15"/>
  <c r="M38" i="15"/>
  <c r="S38" i="15"/>
  <c r="S29" i="15"/>
  <c r="S32" i="15"/>
  <c r="S35" i="15"/>
  <c r="S20" i="15"/>
  <c r="S14" i="15"/>
  <c r="S17" i="15"/>
  <c r="W32" i="15"/>
  <c r="W35" i="15"/>
  <c r="W38" i="15"/>
  <c r="W29" i="15"/>
  <c r="W17" i="15"/>
  <c r="W20" i="15"/>
  <c r="W14" i="15"/>
  <c r="AB32" i="15"/>
  <c r="AB35" i="15"/>
  <c r="AB29" i="15"/>
  <c r="AB38" i="15"/>
  <c r="AB20" i="15"/>
  <c r="AB14" i="15"/>
  <c r="AB17" i="15"/>
  <c r="F35" i="15"/>
  <c r="F32" i="15"/>
  <c r="F20" i="15"/>
  <c r="F17" i="15"/>
  <c r="F14" i="15"/>
  <c r="F38" i="15"/>
  <c r="F29" i="15"/>
  <c r="G17" i="15"/>
  <c r="G35" i="15"/>
  <c r="G38" i="15"/>
  <c r="G14" i="15"/>
  <c r="G20" i="15"/>
  <c r="G32" i="15"/>
  <c r="G29" i="15"/>
  <c r="K38" i="15"/>
  <c r="K17" i="15"/>
  <c r="K35" i="15"/>
  <c r="K20" i="15"/>
  <c r="K29" i="15"/>
  <c r="K14" i="15"/>
  <c r="K32" i="15"/>
  <c r="I14" i="15"/>
  <c r="I35" i="15"/>
  <c r="I29" i="15"/>
  <c r="I17" i="15"/>
  <c r="I20" i="15"/>
  <c r="I32" i="15"/>
  <c r="I38" i="15"/>
  <c r="L14" i="15"/>
  <c r="L38" i="15"/>
  <c r="L35" i="15"/>
  <c r="L17" i="15"/>
  <c r="L20" i="15"/>
  <c r="L32" i="15"/>
  <c r="L29" i="15"/>
  <c r="E38" i="15"/>
  <c r="E14" i="15"/>
  <c r="E20" i="15"/>
  <c r="E32" i="15"/>
  <c r="E17" i="15"/>
  <c r="E35" i="15"/>
  <c r="E29" i="15"/>
  <c r="H17" i="15"/>
  <c r="H35" i="15"/>
  <c r="H14" i="15"/>
  <c r="H38" i="15"/>
  <c r="H20" i="15"/>
  <c r="H32" i="15"/>
  <c r="H29" i="15"/>
  <c r="J20" i="15"/>
  <c r="J14" i="15"/>
  <c r="J29" i="15"/>
  <c r="J32" i="15"/>
  <c r="J35" i="15"/>
  <c r="J17" i="15"/>
  <c r="J38" i="15"/>
  <c r="C19" i="7"/>
  <c r="Q8" i="7"/>
  <c r="Q13" i="7" s="1"/>
  <c r="X8" i="7"/>
  <c r="X13" i="7" s="1"/>
  <c r="U8" i="7"/>
  <c r="U13" i="7" s="1"/>
  <c r="AA8" i="7"/>
  <c r="AA13" i="7" s="1"/>
  <c r="M8" i="7"/>
  <c r="M13" i="7" s="1"/>
  <c r="O8" i="7"/>
  <c r="O13" i="7" s="1"/>
  <c r="S8" i="7"/>
  <c r="S13" i="7" s="1"/>
  <c r="Z8" i="7"/>
  <c r="Z13" i="7" s="1"/>
  <c r="L8" i="7"/>
  <c r="L13" i="7" s="1"/>
  <c r="AB8" i="7"/>
  <c r="AB13" i="7" s="1"/>
  <c r="J8" i="7"/>
  <c r="J13" i="7" s="1"/>
  <c r="P8" i="7"/>
  <c r="P13" i="7" s="1"/>
  <c r="T8" i="7"/>
  <c r="T13" i="7" s="1"/>
  <c r="I8" i="7"/>
  <c r="I13" i="7" s="1"/>
  <c r="G8" i="7"/>
  <c r="G13" i="7" s="1"/>
  <c r="W8" i="7"/>
  <c r="W13" i="7" s="1"/>
  <c r="E13" i="7"/>
  <c r="H8" i="7"/>
  <c r="H13" i="7" s="1"/>
  <c r="R8" i="7"/>
  <c r="R13" i="7" s="1"/>
  <c r="K8" i="7"/>
  <c r="K13" i="7" s="1"/>
  <c r="Y8" i="7"/>
  <c r="Y13" i="7" s="1"/>
  <c r="V8" i="7"/>
  <c r="V13" i="7" s="1"/>
  <c r="F8" i="7"/>
  <c r="F13" i="7" s="1"/>
  <c r="N8" i="7"/>
  <c r="N13" i="7" s="1"/>
  <c r="G41" i="15" l="1"/>
  <c r="AB41" i="15"/>
  <c r="AC42" i="15" s="1"/>
  <c r="W41" i="15"/>
  <c r="U26" i="15"/>
  <c r="AA41" i="15"/>
  <c r="P26" i="15"/>
  <c r="Z26" i="15"/>
  <c r="D41" i="15"/>
  <c r="I26" i="15"/>
  <c r="D26" i="15"/>
  <c r="D27" i="15" s="1"/>
  <c r="X26" i="15"/>
  <c r="O26" i="15"/>
  <c r="F41" i="15"/>
  <c r="G42" i="15" s="1"/>
  <c r="AB26" i="15"/>
  <c r="AB45" i="15" s="1"/>
  <c r="O41" i="15"/>
  <c r="V41" i="15"/>
  <c r="Y41" i="15"/>
  <c r="T26" i="15"/>
  <c r="U41" i="15"/>
  <c r="Q26" i="15"/>
  <c r="F26" i="15"/>
  <c r="F45" i="15" s="1"/>
  <c r="S41" i="15"/>
  <c r="M41" i="15"/>
  <c r="N41" i="15"/>
  <c r="R26" i="15"/>
  <c r="Y26" i="15"/>
  <c r="Q41" i="15"/>
  <c r="V26" i="15"/>
  <c r="Z41" i="15"/>
  <c r="T41" i="15"/>
  <c r="W26" i="15"/>
  <c r="S26" i="15"/>
  <c r="M26" i="15"/>
  <c r="R41" i="15"/>
  <c r="X41" i="15"/>
  <c r="X42" i="15" s="1"/>
  <c r="N26" i="15"/>
  <c r="AA26" i="15"/>
  <c r="P41" i="15"/>
  <c r="L26" i="15"/>
  <c r="I41" i="15"/>
  <c r="H26" i="15"/>
  <c r="E26" i="15"/>
  <c r="J41" i="15"/>
  <c r="K26" i="15"/>
  <c r="J26" i="15"/>
  <c r="J27" i="15" s="1"/>
  <c r="L41" i="15"/>
  <c r="K41" i="15"/>
  <c r="G26" i="15"/>
  <c r="E41" i="15"/>
  <c r="F42" i="15" s="1"/>
  <c r="H41" i="15"/>
  <c r="C9" i="13"/>
  <c r="C7" i="13"/>
  <c r="E17" i="7"/>
  <c r="C30" i="11"/>
  <c r="C31" i="11" s="1"/>
  <c r="C20" i="7" s="1"/>
  <c r="C21" i="7" s="1"/>
  <c r="C3" i="13" s="1"/>
  <c r="X19" i="7"/>
  <c r="X17" i="7"/>
  <c r="Y19" i="7"/>
  <c r="Y17" i="7"/>
  <c r="M17" i="7"/>
  <c r="I17" i="7"/>
  <c r="L17" i="7"/>
  <c r="H17" i="7"/>
  <c r="T19" i="7"/>
  <c r="T17" i="7"/>
  <c r="W19" i="7"/>
  <c r="W17" i="7"/>
  <c r="Z19" i="7"/>
  <c r="Z17" i="7"/>
  <c r="Q19" i="7"/>
  <c r="Q17" i="7"/>
  <c r="AB19" i="7"/>
  <c r="AB17" i="7"/>
  <c r="N19" i="7"/>
  <c r="N17" i="7"/>
  <c r="K17" i="7"/>
  <c r="P19" i="7"/>
  <c r="P17" i="7"/>
  <c r="AA19" i="7"/>
  <c r="AA17" i="7"/>
  <c r="V19" i="7"/>
  <c r="V17" i="7"/>
  <c r="O19" i="7"/>
  <c r="O17" i="7"/>
  <c r="F17" i="7"/>
  <c r="R19" i="7"/>
  <c r="R17" i="7"/>
  <c r="G17" i="7"/>
  <c r="J17" i="7"/>
  <c r="S19" i="7"/>
  <c r="S17" i="7"/>
  <c r="U19" i="7"/>
  <c r="U17" i="7"/>
  <c r="D17" i="7"/>
  <c r="Q27" i="15" l="1"/>
  <c r="AA27" i="15"/>
  <c r="U27" i="15"/>
  <c r="Y27" i="15"/>
  <c r="P27" i="15"/>
  <c r="E27" i="15"/>
  <c r="AB42" i="15"/>
  <c r="X27" i="15"/>
  <c r="V42" i="15"/>
  <c r="D42" i="15"/>
  <c r="D45" i="15"/>
  <c r="D46" i="15" s="1"/>
  <c r="P42" i="15"/>
  <c r="Z27" i="15"/>
  <c r="T42" i="15"/>
  <c r="Z42" i="15"/>
  <c r="W45" i="15"/>
  <c r="W42" i="15"/>
  <c r="R45" i="15"/>
  <c r="R27" i="15"/>
  <c r="O27" i="15"/>
  <c r="N27" i="15"/>
  <c r="V45" i="15"/>
  <c r="V27" i="15"/>
  <c r="T45" i="15"/>
  <c r="T27" i="15"/>
  <c r="P45" i="15"/>
  <c r="Q42" i="15"/>
  <c r="Q45" i="15"/>
  <c r="AC46" i="15"/>
  <c r="AB6" i="13" s="1"/>
  <c r="Z45" i="15"/>
  <c r="Y42" i="15"/>
  <c r="Y45" i="15"/>
  <c r="G27" i="15"/>
  <c r="R42" i="15"/>
  <c r="AA45" i="15"/>
  <c r="AB46" i="15" s="1"/>
  <c r="AA6" i="13" s="1"/>
  <c r="AA42" i="15"/>
  <c r="O42" i="15"/>
  <c r="O45" i="15"/>
  <c r="S42" i="15"/>
  <c r="S45" i="15"/>
  <c r="S27" i="15"/>
  <c r="N42" i="15"/>
  <c r="N45" i="15"/>
  <c r="X45" i="15"/>
  <c r="AC27" i="15"/>
  <c r="AB27" i="15"/>
  <c r="M27" i="15"/>
  <c r="W27" i="15"/>
  <c r="M42" i="15"/>
  <c r="M45" i="15"/>
  <c r="U42" i="15"/>
  <c r="U45" i="15"/>
  <c r="H27" i="15"/>
  <c r="F27" i="15"/>
  <c r="I27" i="15"/>
  <c r="K42" i="15"/>
  <c r="K45" i="15"/>
  <c r="K27" i="15"/>
  <c r="I42" i="15"/>
  <c r="I45" i="15"/>
  <c r="H42" i="15"/>
  <c r="H45" i="15"/>
  <c r="J42" i="15"/>
  <c r="J45" i="15"/>
  <c r="G45" i="15"/>
  <c r="G46" i="15" s="1"/>
  <c r="F6" i="13" s="1"/>
  <c r="L42" i="15"/>
  <c r="L45" i="15"/>
  <c r="E42" i="15"/>
  <c r="E45" i="15"/>
  <c r="L27" i="15"/>
  <c r="X30" i="11"/>
  <c r="X9" i="13"/>
  <c r="X7" i="13"/>
  <c r="N30" i="11"/>
  <c r="N9" i="13"/>
  <c r="N7" i="13"/>
  <c r="W30" i="11"/>
  <c r="W9" i="13"/>
  <c r="W7" i="13"/>
  <c r="U30" i="11"/>
  <c r="U9" i="13"/>
  <c r="U7" i="13"/>
  <c r="R30" i="11"/>
  <c r="R9" i="13"/>
  <c r="R7" i="13"/>
  <c r="AA30" i="11"/>
  <c r="AA9" i="13"/>
  <c r="AA7" i="13"/>
  <c r="T30" i="11"/>
  <c r="T9" i="13"/>
  <c r="T7" i="13"/>
  <c r="Z30" i="11"/>
  <c r="Z9" i="13"/>
  <c r="Z7" i="13"/>
  <c r="V30" i="11"/>
  <c r="V9" i="13"/>
  <c r="V7" i="13"/>
  <c r="AB30" i="11"/>
  <c r="AB9" i="13"/>
  <c r="AB7" i="13"/>
  <c r="S30" i="11"/>
  <c r="S9" i="13"/>
  <c r="S7" i="13"/>
  <c r="P30" i="11"/>
  <c r="P9" i="13"/>
  <c r="P7" i="13"/>
  <c r="Q30" i="11"/>
  <c r="Q7" i="13"/>
  <c r="Q9" i="13"/>
  <c r="Y30" i="11"/>
  <c r="Y9" i="13"/>
  <c r="Y7" i="13"/>
  <c r="O30" i="11"/>
  <c r="O9" i="13"/>
  <c r="O7" i="13"/>
  <c r="E46" i="15" l="1"/>
  <c r="D6" i="13" s="1"/>
  <c r="Q46" i="15"/>
  <c r="P6" i="13" s="1"/>
  <c r="C7" i="14"/>
  <c r="C6" i="13"/>
  <c r="W46" i="15"/>
  <c r="V6" i="13" s="1"/>
  <c r="X46" i="15"/>
  <c r="W6" i="13" s="1"/>
  <c r="S46" i="15"/>
  <c r="R6" i="13" s="1"/>
  <c r="Y46" i="15"/>
  <c r="X6" i="13" s="1"/>
  <c r="T46" i="15"/>
  <c r="S6" i="13" s="1"/>
  <c r="O46" i="15"/>
  <c r="N6" i="13" s="1"/>
  <c r="Z46" i="15"/>
  <c r="Y6" i="13" s="1"/>
  <c r="I46" i="15"/>
  <c r="H6" i="13" s="1"/>
  <c r="U46" i="15"/>
  <c r="T6" i="13" s="1"/>
  <c r="V46" i="15"/>
  <c r="U6" i="13" s="1"/>
  <c r="N46" i="15"/>
  <c r="M6" i="13" s="1"/>
  <c r="AA46" i="15"/>
  <c r="Z6" i="13" s="1"/>
  <c r="K46" i="15"/>
  <c r="J6" i="13" s="1"/>
  <c r="P46" i="15"/>
  <c r="O6" i="13" s="1"/>
  <c r="R46" i="15"/>
  <c r="Q6" i="13" s="1"/>
  <c r="L46" i="15"/>
  <c r="K6" i="13" s="1"/>
  <c r="M46" i="15"/>
  <c r="L6" i="13" s="1"/>
  <c r="F46" i="15"/>
  <c r="E6" i="13" s="1"/>
  <c r="J46" i="15"/>
  <c r="I6" i="13" s="1"/>
  <c r="H46" i="15"/>
  <c r="G6" i="13" s="1"/>
  <c r="G44" i="9"/>
  <c r="E4" i="14" l="1"/>
  <c r="E3" i="14"/>
  <c r="E11" i="14" s="1"/>
  <c r="C5" i="13" l="1"/>
  <c r="C8" i="13" s="1"/>
  <c r="C11" i="13" s="1"/>
  <c r="I11" i="14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80" i="14" s="1"/>
  <c r="I81" i="14" s="1"/>
  <c r="I82" i="14" s="1"/>
  <c r="I83" i="14" s="1"/>
  <c r="I84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I114" i="14" s="1"/>
  <c r="I115" i="14" s="1"/>
  <c r="I116" i="14" s="1"/>
  <c r="I117" i="14" s="1"/>
  <c r="I118" i="14" s="1"/>
  <c r="I119" i="14" s="1"/>
  <c r="I120" i="14" s="1"/>
  <c r="I121" i="14" s="1"/>
  <c r="I122" i="14" s="1"/>
  <c r="I123" i="14" s="1"/>
  <c r="I124" i="14" s="1"/>
  <c r="I125" i="14" s="1"/>
  <c r="I126" i="14" s="1"/>
  <c r="I127" i="14" s="1"/>
  <c r="I128" i="14" s="1"/>
  <c r="I129" i="14" s="1"/>
  <c r="I130" i="14" s="1"/>
  <c r="I131" i="14" s="1"/>
  <c r="I132" i="14" s="1"/>
  <c r="I133" i="14" s="1"/>
  <c r="I134" i="14" s="1"/>
  <c r="I135" i="14" s="1"/>
  <c r="I136" i="14" s="1"/>
  <c r="I137" i="14" s="1"/>
  <c r="I138" i="14" s="1"/>
  <c r="I139" i="14" s="1"/>
  <c r="I140" i="14" s="1"/>
  <c r="I141" i="14" s="1"/>
  <c r="I142" i="14" s="1"/>
  <c r="I143" i="14" s="1"/>
  <c r="C75" i="14"/>
  <c r="L75" i="14" s="1"/>
  <c r="C77" i="14"/>
  <c r="L77" i="14" s="1"/>
  <c r="C110" i="14"/>
  <c r="L110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C97" i="14"/>
  <c r="L97" i="14" s="1"/>
  <c r="C80" i="14"/>
  <c r="L80" i="14" s="1"/>
  <c r="C51" i="14"/>
  <c r="L51" i="14" s="1"/>
  <c r="C93" i="14"/>
  <c r="L93" i="14" s="1"/>
  <c r="C126" i="14"/>
  <c r="L126" i="14" s="1"/>
  <c r="C131" i="14"/>
  <c r="L131" i="14" s="1"/>
  <c r="C45" i="14"/>
  <c r="L45" i="14" s="1"/>
  <c r="C123" i="14"/>
  <c r="L123" i="14" s="1"/>
  <c r="C90" i="14"/>
  <c r="L90" i="14" s="1"/>
  <c r="B23" i="14"/>
  <c r="C68" i="14"/>
  <c r="L68" i="14" s="1"/>
  <c r="C58" i="14"/>
  <c r="L58" i="14" s="1"/>
  <c r="C125" i="14"/>
  <c r="L125" i="14" s="1"/>
  <c r="C42" i="14"/>
  <c r="L42" i="14" s="1"/>
  <c r="C124" i="14"/>
  <c r="L124" i="14" s="1"/>
  <c r="C87" i="14"/>
  <c r="L87" i="14" s="1"/>
  <c r="C56" i="14"/>
  <c r="L56" i="14" s="1"/>
  <c r="C100" i="14"/>
  <c r="L100" i="14" s="1"/>
  <c r="C122" i="14"/>
  <c r="L122" i="14" s="1"/>
  <c r="C118" i="14"/>
  <c r="L118" i="14" s="1"/>
  <c r="C59" i="14"/>
  <c r="L59" i="14" s="1"/>
  <c r="C61" i="14"/>
  <c r="L61" i="14" s="1"/>
  <c r="C113" i="14"/>
  <c r="L113" i="14" s="1"/>
  <c r="C109" i="14"/>
  <c r="L109" i="14" s="1"/>
  <c r="C102" i="14"/>
  <c r="L102" i="14" s="1"/>
  <c r="C70" i="14"/>
  <c r="L70" i="14" s="1"/>
  <c r="C94" i="14"/>
  <c r="L94" i="14" s="1"/>
  <c r="C53" i="14"/>
  <c r="L53" i="14" s="1"/>
  <c r="C44" i="14"/>
  <c r="L44" i="14" s="1"/>
  <c r="C52" i="14"/>
  <c r="L52" i="14" s="1"/>
  <c r="C49" i="14"/>
  <c r="L49" i="14" s="1"/>
  <c r="C105" i="14"/>
  <c r="L105" i="14" s="1"/>
  <c r="C120" i="14"/>
  <c r="C114" i="14"/>
  <c r="L114" i="14" s="1"/>
  <c r="C81" i="14"/>
  <c r="L81" i="14" s="1"/>
  <c r="C83" i="14"/>
  <c r="L83" i="14" s="1"/>
  <c r="C48" i="14"/>
  <c r="C129" i="14"/>
  <c r="L129" i="14" s="1"/>
  <c r="C46" i="14"/>
  <c r="L46" i="14" s="1"/>
  <c r="C40" i="14"/>
  <c r="L40" i="14" s="1"/>
  <c r="C98" i="14"/>
  <c r="L98" i="14" s="1"/>
  <c r="C62" i="14"/>
  <c r="L62" i="14" s="1"/>
  <c r="C107" i="14"/>
  <c r="L107" i="14" s="1"/>
  <c r="C78" i="14"/>
  <c r="L78" i="14" s="1"/>
  <c r="C86" i="14"/>
  <c r="L86" i="14" s="1"/>
  <c r="C60" i="14"/>
  <c r="B32" i="14"/>
  <c r="C54" i="14"/>
  <c r="L54" i="14" s="1"/>
  <c r="B26" i="14"/>
  <c r="C38" i="14"/>
  <c r="L38" i="14" s="1"/>
  <c r="C39" i="14"/>
  <c r="L39" i="14" s="1"/>
  <c r="B20" i="14"/>
  <c r="C115" i="14"/>
  <c r="L115" i="14" s="1"/>
  <c r="C76" i="14"/>
  <c r="L76" i="14" s="1"/>
  <c r="C111" i="14"/>
  <c r="L111" i="14" s="1"/>
  <c r="C66" i="14"/>
  <c r="L66" i="14" s="1"/>
  <c r="C50" i="14"/>
  <c r="L50" i="14" s="1"/>
  <c r="C116" i="14"/>
  <c r="L116" i="14" s="1"/>
  <c r="C119" i="14"/>
  <c r="L119" i="14" s="1"/>
  <c r="C112" i="14"/>
  <c r="L112" i="14" s="1"/>
  <c r="C73" i="14"/>
  <c r="L73" i="14" s="1"/>
  <c r="C101" i="14"/>
  <c r="L101" i="14" s="1"/>
  <c r="C63" i="14"/>
  <c r="L63" i="14" s="1"/>
  <c r="C47" i="14"/>
  <c r="L47" i="14" s="1"/>
  <c r="C128" i="14"/>
  <c r="L128" i="14" s="1"/>
  <c r="C74" i="14"/>
  <c r="L74" i="14" s="1"/>
  <c r="C79" i="14"/>
  <c r="L79" i="14" s="1"/>
  <c r="C69" i="14"/>
  <c r="L69" i="14" s="1"/>
  <c r="C71" i="14"/>
  <c r="L71" i="14" s="1"/>
  <c r="B29" i="14"/>
  <c r="C65" i="14"/>
  <c r="L65" i="14" s="1"/>
  <c r="C55" i="14"/>
  <c r="L55" i="14" s="1"/>
  <c r="C108" i="14"/>
  <c r="C130" i="14"/>
  <c r="L130" i="14" s="1"/>
  <c r="C121" i="14"/>
  <c r="L121" i="14" s="1"/>
  <c r="C84" i="14"/>
  <c r="C106" i="14"/>
  <c r="L106" i="14" s="1"/>
  <c r="C92" i="14"/>
  <c r="L92" i="14" s="1"/>
  <c r="C95" i="14"/>
  <c r="L95" i="14" s="1"/>
  <c r="C67" i="14"/>
  <c r="L67" i="14" s="1"/>
  <c r="C91" i="14"/>
  <c r="L91" i="14" s="1"/>
  <c r="C36" i="14"/>
  <c r="C41" i="14"/>
  <c r="L41" i="14" s="1"/>
  <c r="C82" i="14"/>
  <c r="L82" i="14" s="1"/>
  <c r="C72" i="14"/>
  <c r="C99" i="14"/>
  <c r="L99" i="14" s="1"/>
  <c r="C89" i="14"/>
  <c r="L89" i="14" s="1"/>
  <c r="C37" i="14"/>
  <c r="L37" i="14" s="1"/>
  <c r="C64" i="14"/>
  <c r="L64" i="14" s="1"/>
  <c r="C88" i="14"/>
  <c r="L88" i="14" s="1"/>
  <c r="C127" i="14"/>
  <c r="L127" i="14" s="1"/>
  <c r="B17" i="14"/>
  <c r="C43" i="14"/>
  <c r="L43" i="14" s="1"/>
  <c r="B35" i="14"/>
  <c r="C85" i="14"/>
  <c r="L85" i="14" s="1"/>
  <c r="B14" i="14"/>
  <c r="C104" i="14"/>
  <c r="L104" i="14" s="1"/>
  <c r="C96" i="14"/>
  <c r="C103" i="14"/>
  <c r="L103" i="14" s="1"/>
  <c r="C57" i="14"/>
  <c r="L57" i="14" s="1"/>
  <c r="C117" i="14"/>
  <c r="L117" i="14" s="1"/>
  <c r="K35" i="14" l="1"/>
  <c r="D35" i="14"/>
  <c r="J35" i="14" s="1"/>
  <c r="L36" i="14"/>
  <c r="E172" i="14"/>
  <c r="F10" i="13" s="1"/>
  <c r="C145" i="14"/>
  <c r="D29" i="14"/>
  <c r="J29" i="14" s="1"/>
  <c r="K29" i="14"/>
  <c r="K20" i="14"/>
  <c r="D20" i="14"/>
  <c r="J20" i="14" s="1"/>
  <c r="K23" i="14"/>
  <c r="D23" i="14"/>
  <c r="J23" i="14" s="1"/>
  <c r="B36" i="14"/>
  <c r="E36" i="14"/>
  <c r="L96" i="14"/>
  <c r="J172" i="14"/>
  <c r="K10" i="13" s="1"/>
  <c r="K14" i="14"/>
  <c r="D14" i="14"/>
  <c r="C171" i="14"/>
  <c r="D18" i="7" s="1"/>
  <c r="D19" i="7" s="1"/>
  <c r="K17" i="14"/>
  <c r="D17" i="14"/>
  <c r="J17" i="14" s="1"/>
  <c r="L84" i="14"/>
  <c r="I172" i="14"/>
  <c r="J10" i="13" s="1"/>
  <c r="G172" i="14"/>
  <c r="H10" i="13" s="1"/>
  <c r="L60" i="14"/>
  <c r="H172" i="14"/>
  <c r="I10" i="13" s="1"/>
  <c r="L72" i="14"/>
  <c r="L108" i="14"/>
  <c r="K172" i="14"/>
  <c r="L10" i="13" s="1"/>
  <c r="D26" i="14"/>
  <c r="K26" i="14"/>
  <c r="D171" i="14"/>
  <c r="E18" i="7" s="1"/>
  <c r="E19" i="7" s="1"/>
  <c r="D32" i="14"/>
  <c r="J32" i="14" s="1"/>
  <c r="K32" i="14"/>
  <c r="F172" i="14"/>
  <c r="G10" i="13" s="1"/>
  <c r="L48" i="14"/>
  <c r="L120" i="14"/>
  <c r="L172" i="14"/>
  <c r="M10" i="13" s="1"/>
  <c r="B13" i="8"/>
  <c r="C12" i="13"/>
  <c r="B14" i="8" s="1"/>
  <c r="E30" i="11" l="1"/>
  <c r="E7" i="13"/>
  <c r="E9" i="13"/>
  <c r="B37" i="14"/>
  <c r="E37" i="14"/>
  <c r="D7" i="13"/>
  <c r="D30" i="11"/>
  <c r="D31" i="11" s="1"/>
  <c r="D20" i="7" s="1"/>
  <c r="D9" i="13"/>
  <c r="D16" i="7"/>
  <c r="K36" i="14"/>
  <c r="D36" i="14"/>
  <c r="J26" i="14"/>
  <c r="D173" i="14"/>
  <c r="C173" i="14"/>
  <c r="J14" i="14"/>
  <c r="D21" i="7" l="1"/>
  <c r="D3" i="13" s="1"/>
  <c r="D8" i="13" s="1"/>
  <c r="D11" i="13" s="1"/>
  <c r="K37" i="14"/>
  <c r="D37" i="14"/>
  <c r="J36" i="14"/>
  <c r="D29" i="11"/>
  <c r="E15" i="7"/>
  <c r="E28" i="11" s="1"/>
  <c r="E31" i="11" s="1"/>
  <c r="E20" i="7" s="1"/>
  <c r="E21" i="7" s="1"/>
  <c r="E3" i="13" s="1"/>
  <c r="E8" i="13" s="1"/>
  <c r="E11" i="13" s="1"/>
  <c r="E38" i="14"/>
  <c r="B38" i="14"/>
  <c r="E16" i="7" l="1"/>
  <c r="E29" i="11" s="1"/>
  <c r="D13" i="8"/>
  <c r="C13" i="8"/>
  <c r="D12" i="13"/>
  <c r="C14" i="8" s="1"/>
  <c r="B39" i="14"/>
  <c r="E39" i="14"/>
  <c r="J37" i="14"/>
  <c r="D38" i="14"/>
  <c r="K38" i="14"/>
  <c r="J38" i="14" l="1"/>
  <c r="E40" i="14"/>
  <c r="B40" i="14"/>
  <c r="E12" i="13"/>
  <c r="D14" i="8" s="1"/>
  <c r="K39" i="14"/>
  <c r="D39" i="14"/>
  <c r="J39" i="14" s="1"/>
  <c r="D40" i="14" l="1"/>
  <c r="K40" i="14"/>
  <c r="E41" i="14"/>
  <c r="B41" i="14"/>
  <c r="D41" i="14" l="1"/>
  <c r="K41" i="14"/>
  <c r="E42" i="14"/>
  <c r="B42" i="14"/>
  <c r="J40" i="14"/>
  <c r="E43" i="14" l="1"/>
  <c r="B43" i="14"/>
  <c r="J41" i="14"/>
  <c r="D42" i="14"/>
  <c r="J42" i="14" s="1"/>
  <c r="K42" i="14"/>
  <c r="E44" i="14" l="1"/>
  <c r="B44" i="14"/>
  <c r="K43" i="14"/>
  <c r="D43" i="14"/>
  <c r="J43" i="14" s="1"/>
  <c r="B45" i="14" l="1"/>
  <c r="E45" i="14"/>
  <c r="D44" i="14"/>
  <c r="J44" i="14" s="1"/>
  <c r="K44" i="14"/>
  <c r="D45" i="14" l="1"/>
  <c r="J45" i="14" s="1"/>
  <c r="K45" i="14"/>
  <c r="B46" i="14"/>
  <c r="E46" i="14"/>
  <c r="K46" i="14" l="1"/>
  <c r="D46" i="14"/>
  <c r="J46" i="14" s="1"/>
  <c r="B47" i="14"/>
  <c r="E47" i="14"/>
  <c r="E171" i="14" l="1"/>
  <c r="F18" i="7" s="1"/>
  <c r="D47" i="14"/>
  <c r="K47" i="14"/>
  <c r="B48" i="14"/>
  <c r="E48" i="14"/>
  <c r="B49" i="14" l="1"/>
  <c r="E49" i="14"/>
  <c r="F19" i="7"/>
  <c r="F15" i="7"/>
  <c r="F28" i="11" s="1"/>
  <c r="K48" i="14"/>
  <c r="D48" i="14"/>
  <c r="J47" i="14"/>
  <c r="E173" i="14"/>
  <c r="F7" i="13" l="1"/>
  <c r="F9" i="13"/>
  <c r="F30" i="11"/>
  <c r="F31" i="11" s="1"/>
  <c r="F20" i="7" s="1"/>
  <c r="F21" i="7" s="1"/>
  <c r="F3" i="13" s="1"/>
  <c r="F16" i="7"/>
  <c r="D49" i="14"/>
  <c r="J49" i="14" s="1"/>
  <c r="K49" i="14"/>
  <c r="J48" i="14"/>
  <c r="B50" i="14"/>
  <c r="E50" i="14"/>
  <c r="F8" i="13" l="1"/>
  <c r="F11" i="13" s="1"/>
  <c r="E13" i="8" s="1"/>
  <c r="B51" i="14"/>
  <c r="E51" i="14"/>
  <c r="F29" i="11"/>
  <c r="D50" i="14"/>
  <c r="J50" i="14" s="1"/>
  <c r="K50" i="14"/>
  <c r="F12" i="13" l="1"/>
  <c r="E14" i="8" s="1"/>
  <c r="K51" i="14"/>
  <c r="D51" i="14"/>
  <c r="E52" i="14"/>
  <c r="B52" i="14"/>
  <c r="K52" i="14" l="1"/>
  <c r="D52" i="14"/>
  <c r="J52" i="14" s="1"/>
  <c r="B53" i="14"/>
  <c r="E53" i="14"/>
  <c r="J51" i="14"/>
  <c r="B54" i="14" l="1"/>
  <c r="E54" i="14"/>
  <c r="D53" i="14"/>
  <c r="K53" i="14"/>
  <c r="J53" i="14" l="1"/>
  <c r="K54" i="14"/>
  <c r="D54" i="14"/>
  <c r="J54" i="14" s="1"/>
  <c r="E55" i="14"/>
  <c r="B55" i="14"/>
  <c r="D55" i="14" l="1"/>
  <c r="J55" i="14" s="1"/>
  <c r="K55" i="14"/>
  <c r="B56" i="14"/>
  <c r="E56" i="14"/>
  <c r="E57" i="14" l="1"/>
  <c r="B57" i="14"/>
  <c r="D56" i="14"/>
  <c r="J56" i="14" s="1"/>
  <c r="K56" i="14"/>
  <c r="B58" i="14" l="1"/>
  <c r="E58" i="14"/>
  <c r="D57" i="14"/>
  <c r="J57" i="14" s="1"/>
  <c r="K57" i="14"/>
  <c r="K58" i="14" l="1"/>
  <c r="D58" i="14"/>
  <c r="J58" i="14" s="1"/>
  <c r="E59" i="14"/>
  <c r="B59" i="14"/>
  <c r="B60" i="14" l="1"/>
  <c r="E60" i="14"/>
  <c r="F171" i="14"/>
  <c r="G18" i="7" s="1"/>
  <c r="D59" i="14"/>
  <c r="K59" i="14"/>
  <c r="G19" i="7" l="1"/>
  <c r="G15" i="7"/>
  <c r="G28" i="11" s="1"/>
  <c r="D60" i="14"/>
  <c r="K60" i="14"/>
  <c r="J59" i="14"/>
  <c r="F173" i="14"/>
  <c r="E61" i="14"/>
  <c r="B61" i="14"/>
  <c r="B62" i="14" l="1"/>
  <c r="E62" i="14"/>
  <c r="J60" i="14"/>
  <c r="G9" i="13"/>
  <c r="G30" i="11"/>
  <c r="G31" i="11" s="1"/>
  <c r="G20" i="7" s="1"/>
  <c r="G21" i="7" s="1"/>
  <c r="G3" i="13" s="1"/>
  <c r="G7" i="13"/>
  <c r="G16" i="7"/>
  <c r="D61" i="14"/>
  <c r="J61" i="14" s="1"/>
  <c r="K61" i="14"/>
  <c r="G8" i="13" l="1"/>
  <c r="G11" i="13" s="1"/>
  <c r="F13" i="8" s="1"/>
  <c r="D62" i="14"/>
  <c r="J62" i="14" s="1"/>
  <c r="K62" i="14"/>
  <c r="G29" i="11"/>
  <c r="B63" i="14"/>
  <c r="E63" i="14"/>
  <c r="G12" i="13" l="1"/>
  <c r="F14" i="8" s="1"/>
  <c r="E64" i="14"/>
  <c r="B64" i="14"/>
  <c r="K63" i="14"/>
  <c r="D63" i="14"/>
  <c r="J63" i="14" l="1"/>
  <c r="E65" i="14"/>
  <c r="B65" i="14"/>
  <c r="D64" i="14"/>
  <c r="J64" i="14" s="1"/>
  <c r="K64" i="14"/>
  <c r="E66" i="14" l="1"/>
  <c r="B66" i="14"/>
  <c r="D65" i="14"/>
  <c r="J65" i="14" s="1"/>
  <c r="K65" i="14"/>
  <c r="E67" i="14" l="1"/>
  <c r="B67" i="14"/>
  <c r="D66" i="14"/>
  <c r="K66" i="14"/>
  <c r="J66" i="14" l="1"/>
  <c r="B68" i="14"/>
  <c r="E68" i="14"/>
  <c r="D67" i="14"/>
  <c r="J67" i="14" s="1"/>
  <c r="K67" i="14"/>
  <c r="D68" i="14" l="1"/>
  <c r="J68" i="14" s="1"/>
  <c r="K68" i="14"/>
  <c r="B69" i="14"/>
  <c r="E69" i="14"/>
  <c r="K69" i="14" l="1"/>
  <c r="D69" i="14"/>
  <c r="J69" i="14" s="1"/>
  <c r="B70" i="14"/>
  <c r="E70" i="14"/>
  <c r="K70" i="14" l="1"/>
  <c r="D70" i="14"/>
  <c r="J70" i="14" s="1"/>
  <c r="E71" i="14"/>
  <c r="B71" i="14"/>
  <c r="E72" i="14" l="1"/>
  <c r="B72" i="14"/>
  <c r="G171" i="14"/>
  <c r="H18" i="7" s="1"/>
  <c r="K71" i="14"/>
  <c r="D71" i="14"/>
  <c r="J71" i="14" l="1"/>
  <c r="G173" i="14"/>
  <c r="H19" i="7"/>
  <c r="H15" i="7"/>
  <c r="H28" i="11" s="1"/>
  <c r="E73" i="14"/>
  <c r="B73" i="14"/>
  <c r="D72" i="14"/>
  <c r="K72" i="14"/>
  <c r="J72" i="14" l="1"/>
  <c r="B74" i="14"/>
  <c r="E74" i="14"/>
  <c r="H7" i="13"/>
  <c r="H9" i="13"/>
  <c r="H30" i="11"/>
  <c r="H31" i="11" s="1"/>
  <c r="H20" i="7" s="1"/>
  <c r="H21" i="7" s="1"/>
  <c r="H3" i="13" s="1"/>
  <c r="H16" i="7"/>
  <c r="K73" i="14"/>
  <c r="D73" i="14"/>
  <c r="J73" i="14" s="1"/>
  <c r="H8" i="13" l="1"/>
  <c r="H11" i="13" s="1"/>
  <c r="G13" i="8" s="1"/>
  <c r="D74" i="14"/>
  <c r="J74" i="14" s="1"/>
  <c r="K74" i="14"/>
  <c r="H29" i="11"/>
  <c r="E75" i="14"/>
  <c r="B75" i="14"/>
  <c r="H12" i="13" l="1"/>
  <c r="G14" i="8" s="1"/>
  <c r="B76" i="14"/>
  <c r="E76" i="14"/>
  <c r="B21" i="8"/>
  <c r="E21" i="8" s="1"/>
  <c r="C21" i="8"/>
  <c r="F21" i="8" s="1"/>
  <c r="D75" i="14"/>
  <c r="K75" i="14"/>
  <c r="D76" i="14" l="1"/>
  <c r="J76" i="14" s="1"/>
  <c r="K76" i="14"/>
  <c r="J75" i="14"/>
  <c r="B77" i="14"/>
  <c r="E77" i="14"/>
  <c r="K77" i="14" l="1"/>
  <c r="D77" i="14"/>
  <c r="J77" i="14" s="1"/>
  <c r="B78" i="14"/>
  <c r="E78" i="14"/>
  <c r="K78" i="14" l="1"/>
  <c r="D78" i="14"/>
  <c r="E79" i="14"/>
  <c r="B79" i="14"/>
  <c r="K79" i="14" l="1"/>
  <c r="D79" i="14"/>
  <c r="J79" i="14" s="1"/>
  <c r="J78" i="14"/>
  <c r="E80" i="14"/>
  <c r="B80" i="14"/>
  <c r="D80" i="14" l="1"/>
  <c r="J80" i="14" s="1"/>
  <c r="K80" i="14"/>
  <c r="E81" i="14"/>
  <c r="B81" i="14"/>
  <c r="E82" i="14" l="1"/>
  <c r="B82" i="14"/>
  <c r="D81" i="14"/>
  <c r="J81" i="14" s="1"/>
  <c r="K81" i="14"/>
  <c r="B83" i="14" l="1"/>
  <c r="E83" i="14"/>
  <c r="K82" i="14"/>
  <c r="D82" i="14"/>
  <c r="J82" i="14" s="1"/>
  <c r="H171" i="14" l="1"/>
  <c r="I18" i="7" s="1"/>
  <c r="K83" i="14"/>
  <c r="D83" i="14"/>
  <c r="E84" i="14"/>
  <c r="B84" i="14"/>
  <c r="D84" i="14" l="1"/>
  <c r="K84" i="14"/>
  <c r="J83" i="14"/>
  <c r="H173" i="14"/>
  <c r="B85" i="14"/>
  <c r="E85" i="14"/>
  <c r="I19" i="7"/>
  <c r="I15" i="7"/>
  <c r="I28" i="11" s="1"/>
  <c r="I30" i="11" l="1"/>
  <c r="I31" i="11" s="1"/>
  <c r="I20" i="7" s="1"/>
  <c r="I21" i="7" s="1"/>
  <c r="I3" i="13" s="1"/>
  <c r="I7" i="13"/>
  <c r="I9" i="13"/>
  <c r="I16" i="7"/>
  <c r="D85" i="14"/>
  <c r="J85" i="14" s="1"/>
  <c r="K85" i="14"/>
  <c r="J84" i="14"/>
  <c r="E86" i="14"/>
  <c r="B86" i="14"/>
  <c r="I8" i="13" l="1"/>
  <c r="I11" i="13" s="1"/>
  <c r="I12" i="13" s="1"/>
  <c r="H14" i="8" s="1"/>
  <c r="E87" i="14"/>
  <c r="B87" i="14"/>
  <c r="I29" i="11"/>
  <c r="K86" i="14"/>
  <c r="D86" i="14"/>
  <c r="J86" i="14" s="1"/>
  <c r="H13" i="8" l="1"/>
  <c r="B88" i="14"/>
  <c r="E88" i="14"/>
  <c r="K87" i="14"/>
  <c r="D87" i="14"/>
  <c r="J87" i="14" s="1"/>
  <c r="E89" i="14" l="1"/>
  <c r="B89" i="14"/>
  <c r="K88" i="14"/>
  <c r="D88" i="14"/>
  <c r="J88" i="14" s="1"/>
  <c r="E90" i="14" l="1"/>
  <c r="B90" i="14"/>
  <c r="K89" i="14"/>
  <c r="D89" i="14"/>
  <c r="E91" i="14" l="1"/>
  <c r="B91" i="14"/>
  <c r="J89" i="14"/>
  <c r="K90" i="14"/>
  <c r="D90" i="14"/>
  <c r="J90" i="14" s="1"/>
  <c r="E92" i="14" l="1"/>
  <c r="B92" i="14"/>
  <c r="D91" i="14"/>
  <c r="J91" i="14" s="1"/>
  <c r="K91" i="14"/>
  <c r="E93" i="14" l="1"/>
  <c r="B93" i="14"/>
  <c r="D92" i="14"/>
  <c r="J92" i="14" s="1"/>
  <c r="K92" i="14"/>
  <c r="B94" i="14" l="1"/>
  <c r="E94" i="14"/>
  <c r="D93" i="14"/>
  <c r="J93" i="14" s="1"/>
  <c r="K93" i="14"/>
  <c r="D94" i="14" l="1"/>
  <c r="J94" i="14" s="1"/>
  <c r="K94" i="14"/>
  <c r="B95" i="14"/>
  <c r="E95" i="14"/>
  <c r="I171" i="14" l="1"/>
  <c r="J18" i="7" s="1"/>
  <c r="D95" i="14"/>
  <c r="K95" i="14"/>
  <c r="B96" i="14"/>
  <c r="E96" i="14"/>
  <c r="E97" i="14" l="1"/>
  <c r="B97" i="14"/>
  <c r="J19" i="7"/>
  <c r="J15" i="7"/>
  <c r="J28" i="11" s="1"/>
  <c r="K96" i="14"/>
  <c r="D96" i="14"/>
  <c r="J95" i="14"/>
  <c r="I173" i="14"/>
  <c r="J30" i="11" l="1"/>
  <c r="J31" i="11" s="1"/>
  <c r="J20" i="7" s="1"/>
  <c r="J21" i="7" s="1"/>
  <c r="J3" i="13" s="1"/>
  <c r="J7" i="13"/>
  <c r="J9" i="13"/>
  <c r="J16" i="7"/>
  <c r="B98" i="14"/>
  <c r="E98" i="14"/>
  <c r="J96" i="14"/>
  <c r="K97" i="14"/>
  <c r="D97" i="14"/>
  <c r="J97" i="14" s="1"/>
  <c r="J8" i="13" l="1"/>
  <c r="J11" i="13" s="1"/>
  <c r="I13" i="8" s="1"/>
  <c r="D98" i="14"/>
  <c r="J98" i="14" s="1"/>
  <c r="K98" i="14"/>
  <c r="B99" i="14"/>
  <c r="E99" i="14"/>
  <c r="J29" i="11"/>
  <c r="J12" i="13" l="1"/>
  <c r="I14" i="8" s="1"/>
  <c r="B100" i="14"/>
  <c r="E100" i="14"/>
  <c r="D99" i="14"/>
  <c r="K99" i="14"/>
  <c r="K100" i="14" l="1"/>
  <c r="D100" i="14"/>
  <c r="J100" i="14" s="1"/>
  <c r="J99" i="14"/>
  <c r="B101" i="14"/>
  <c r="E101" i="14"/>
  <c r="K101" i="14" l="1"/>
  <c r="D101" i="14"/>
  <c r="E102" i="14"/>
  <c r="B102" i="14"/>
  <c r="E103" i="14" l="1"/>
  <c r="B103" i="14"/>
  <c r="K102" i="14"/>
  <c r="D102" i="14"/>
  <c r="J102" i="14" s="1"/>
  <c r="J101" i="14"/>
  <c r="E104" i="14" l="1"/>
  <c r="B104" i="14"/>
  <c r="D103" i="14"/>
  <c r="K103" i="14"/>
  <c r="J103" i="14" l="1"/>
  <c r="B105" i="14"/>
  <c r="E105" i="14"/>
  <c r="D104" i="14"/>
  <c r="J104" i="14" s="1"/>
  <c r="K104" i="14"/>
  <c r="D105" i="14" l="1"/>
  <c r="J105" i="14" s="1"/>
  <c r="K105" i="14"/>
  <c r="E106" i="14"/>
  <c r="B106" i="14"/>
  <c r="B107" i="14" l="1"/>
  <c r="E107" i="14"/>
  <c r="D106" i="14"/>
  <c r="J106" i="14" s="1"/>
  <c r="K106" i="14"/>
  <c r="J171" i="14" l="1"/>
  <c r="K18" i="7" s="1"/>
  <c r="D107" i="14"/>
  <c r="K107" i="14"/>
  <c r="B108" i="14"/>
  <c r="E108" i="14"/>
  <c r="B109" i="14" l="1"/>
  <c r="E109" i="14"/>
  <c r="K19" i="7"/>
  <c r="K15" i="7"/>
  <c r="K28" i="11" s="1"/>
  <c r="D108" i="14"/>
  <c r="K108" i="14"/>
  <c r="J107" i="14"/>
  <c r="J173" i="14"/>
  <c r="J108" i="14" l="1"/>
  <c r="K9" i="13"/>
  <c r="K30" i="11"/>
  <c r="K31" i="11" s="1"/>
  <c r="K20" i="7" s="1"/>
  <c r="K21" i="7" s="1"/>
  <c r="K3" i="13" s="1"/>
  <c r="K7" i="13"/>
  <c r="K16" i="7"/>
  <c r="D109" i="14"/>
  <c r="J109" i="14" s="1"/>
  <c r="K109" i="14"/>
  <c r="B110" i="14"/>
  <c r="E110" i="14"/>
  <c r="K8" i="13" l="1"/>
  <c r="K11" i="13" s="1"/>
  <c r="K12" i="13" s="1"/>
  <c r="J14" i="8" s="1"/>
  <c r="K110" i="14"/>
  <c r="D110" i="14"/>
  <c r="J110" i="14" s="1"/>
  <c r="K29" i="11"/>
  <c r="E111" i="14"/>
  <c r="B111" i="14"/>
  <c r="J13" i="8" l="1"/>
  <c r="K111" i="14"/>
  <c r="D111" i="14"/>
  <c r="E112" i="14"/>
  <c r="B112" i="14"/>
  <c r="E113" i="14" l="1"/>
  <c r="B113" i="14"/>
  <c r="J111" i="14"/>
  <c r="D112" i="14"/>
  <c r="J112" i="14" s="1"/>
  <c r="K112" i="14"/>
  <c r="E114" i="14" l="1"/>
  <c r="B114" i="14"/>
  <c r="D113" i="14"/>
  <c r="J113" i="14" s="1"/>
  <c r="K113" i="14"/>
  <c r="E115" i="14" l="1"/>
  <c r="B115" i="14"/>
  <c r="D114" i="14"/>
  <c r="K114" i="14"/>
  <c r="J114" i="14" l="1"/>
  <c r="B116" i="14"/>
  <c r="E116" i="14"/>
  <c r="K115" i="14"/>
  <c r="D115" i="14"/>
  <c r="J115" i="14" s="1"/>
  <c r="K116" i="14" l="1"/>
  <c r="D116" i="14"/>
  <c r="J116" i="14" s="1"/>
  <c r="E117" i="14"/>
  <c r="B117" i="14"/>
  <c r="B118" i="14" l="1"/>
  <c r="E118" i="14"/>
  <c r="K117" i="14"/>
  <c r="D117" i="14"/>
  <c r="J117" i="14" s="1"/>
  <c r="K118" i="14" l="1"/>
  <c r="D118" i="14"/>
  <c r="J118" i="14" s="1"/>
  <c r="E119" i="14"/>
  <c r="B119" i="14"/>
  <c r="E120" i="14" l="1"/>
  <c r="B120" i="14"/>
  <c r="K171" i="14"/>
  <c r="L18" i="7" s="1"/>
  <c r="K119" i="14"/>
  <c r="D119" i="14"/>
  <c r="J119" i="14" l="1"/>
  <c r="K173" i="14"/>
  <c r="L19" i="7"/>
  <c r="L15" i="7"/>
  <c r="L28" i="11" s="1"/>
  <c r="B121" i="14"/>
  <c r="E121" i="14"/>
  <c r="D120" i="14"/>
  <c r="K120" i="14"/>
  <c r="J120" i="14" l="1"/>
  <c r="K121" i="14"/>
  <c r="D121" i="14"/>
  <c r="J121" i="14" s="1"/>
  <c r="L30" i="11"/>
  <c r="L31" i="11" s="1"/>
  <c r="L20" i="7" s="1"/>
  <c r="L21" i="7" s="1"/>
  <c r="L3" i="13" s="1"/>
  <c r="L7" i="13"/>
  <c r="L9" i="13"/>
  <c r="L16" i="7"/>
  <c r="E122" i="14"/>
  <c r="B122" i="14"/>
  <c r="L8" i="13" l="1"/>
  <c r="L11" i="13" s="1"/>
  <c r="L12" i="13" s="1"/>
  <c r="K14" i="8" s="1"/>
  <c r="B123" i="14"/>
  <c r="E123" i="14"/>
  <c r="D122" i="14"/>
  <c r="J122" i="14" s="1"/>
  <c r="K122" i="14"/>
  <c r="L29" i="11"/>
  <c r="K13" i="8" l="1"/>
  <c r="D123" i="14"/>
  <c r="K123" i="14"/>
  <c r="B124" i="14"/>
  <c r="E124" i="14"/>
  <c r="D124" i="14" l="1"/>
  <c r="J124" i="14" s="1"/>
  <c r="K124" i="14"/>
  <c r="J123" i="14"/>
  <c r="B125" i="14"/>
  <c r="E125" i="14"/>
  <c r="K125" i="14" l="1"/>
  <c r="D125" i="14"/>
  <c r="J125" i="14" s="1"/>
  <c r="B126" i="14"/>
  <c r="E126" i="14"/>
  <c r="K126" i="14" l="1"/>
  <c r="D126" i="14"/>
  <c r="E127" i="14"/>
  <c r="B127" i="14"/>
  <c r="E128" i="14" l="1"/>
  <c r="B128" i="14"/>
  <c r="K127" i="14"/>
  <c r="D127" i="14"/>
  <c r="J127" i="14" s="1"/>
  <c r="J126" i="14"/>
  <c r="E129" i="14" l="1"/>
  <c r="B129" i="14"/>
  <c r="D128" i="14"/>
  <c r="J128" i="14" s="1"/>
  <c r="K128" i="14"/>
  <c r="B130" i="14" l="1"/>
  <c r="E130" i="14"/>
  <c r="D129" i="14"/>
  <c r="J129" i="14" s="1"/>
  <c r="K129" i="14"/>
  <c r="K130" i="14" l="1"/>
  <c r="D130" i="14"/>
  <c r="J130" i="14" s="1"/>
  <c r="E131" i="14"/>
  <c r="B131" i="14"/>
  <c r="E132" i="14" l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B132" i="14"/>
  <c r="L171" i="14"/>
  <c r="M18" i="7" s="1"/>
  <c r="D131" i="14"/>
  <c r="K131" i="14"/>
  <c r="M19" i="7" l="1"/>
  <c r="M15" i="7"/>
  <c r="M28" i="11" s="1"/>
  <c r="J131" i="14"/>
  <c r="L173" i="14"/>
  <c r="B145" i="14"/>
  <c r="K132" i="14"/>
  <c r="D132" i="14"/>
  <c r="J132" i="14" l="1"/>
  <c r="D145" i="14"/>
  <c r="M30" i="11"/>
  <c r="M31" i="11" s="1"/>
  <c r="M20" i="7" s="1"/>
  <c r="M21" i="7" s="1"/>
  <c r="M3" i="13" s="1"/>
  <c r="M7" i="13"/>
  <c r="M9" i="13"/>
  <c r="M16" i="7"/>
  <c r="M8" i="13" l="1"/>
  <c r="M11" i="13" s="1"/>
  <c r="L13" i="8" s="1"/>
  <c r="N15" i="7"/>
  <c r="N28" i="11" s="1"/>
  <c r="N31" i="11" s="1"/>
  <c r="N20" i="7" s="1"/>
  <c r="N21" i="7" s="1"/>
  <c r="N3" i="13" s="1"/>
  <c r="N8" i="13" s="1"/>
  <c r="N11" i="13" s="1"/>
  <c r="M29" i="11"/>
  <c r="M12" i="13" l="1"/>
  <c r="L14" i="8" s="1"/>
  <c r="N16" i="7"/>
  <c r="O15" i="7" s="1"/>
  <c r="O28" i="11" s="1"/>
  <c r="O31" i="11" s="1"/>
  <c r="O20" i="7" s="1"/>
  <c r="O21" i="7" s="1"/>
  <c r="O3" i="13" s="1"/>
  <c r="O8" i="13" s="1"/>
  <c r="O11" i="13" s="1"/>
  <c r="M13" i="8"/>
  <c r="C20" i="8"/>
  <c r="F20" i="8" s="1"/>
  <c r="B20" i="8"/>
  <c r="E20" i="8" s="1"/>
  <c r="N12" i="13" l="1"/>
  <c r="M14" i="8" s="1"/>
  <c r="O16" i="7"/>
  <c r="P15" i="7" s="1"/>
  <c r="P28" i="11" s="1"/>
  <c r="P31" i="11" s="1"/>
  <c r="P20" i="7" s="1"/>
  <c r="P21" i="7" s="1"/>
  <c r="P3" i="13" s="1"/>
  <c r="P8" i="13" s="1"/>
  <c r="P11" i="13" s="1"/>
  <c r="N29" i="11"/>
  <c r="N13" i="8"/>
  <c r="O12" i="13" l="1"/>
  <c r="N14" i="8" s="1"/>
  <c r="O29" i="11"/>
  <c r="P16" i="7"/>
  <c r="Q15" i="7" s="1"/>
  <c r="Q28" i="11" s="1"/>
  <c r="Q31" i="11" s="1"/>
  <c r="Q20" i="7" s="1"/>
  <c r="Q21" i="7" s="1"/>
  <c r="Q3" i="13" s="1"/>
  <c r="Q8" i="13" s="1"/>
  <c r="Q11" i="13" s="1"/>
  <c r="O13" i="8"/>
  <c r="P12" i="13" l="1"/>
  <c r="O14" i="8" s="1"/>
  <c r="P29" i="11"/>
  <c r="Q16" i="7"/>
  <c r="R15" i="7" s="1"/>
  <c r="R28" i="11" s="1"/>
  <c r="R31" i="11" s="1"/>
  <c r="R20" i="7" s="1"/>
  <c r="R21" i="7" s="1"/>
  <c r="R3" i="13" s="1"/>
  <c r="R8" i="13" s="1"/>
  <c r="R11" i="13" s="1"/>
  <c r="P13" i="8"/>
  <c r="Q12" i="13" l="1"/>
  <c r="P14" i="8" s="1"/>
  <c r="Q29" i="11"/>
  <c r="R16" i="7"/>
  <c r="R29" i="11" s="1"/>
  <c r="Q13" i="8"/>
  <c r="R12" i="13" l="1"/>
  <c r="Q14" i="8" s="1"/>
  <c r="S15" i="7"/>
  <c r="S28" i="11" s="1"/>
  <c r="S31" i="11" s="1"/>
  <c r="S20" i="7" s="1"/>
  <c r="S21" i="7" s="1"/>
  <c r="S3" i="13" s="1"/>
  <c r="S8" i="13" s="1"/>
  <c r="S11" i="13" s="1"/>
  <c r="B19" i="8"/>
  <c r="E19" i="8" s="1"/>
  <c r="C19" i="8"/>
  <c r="F19" i="8" s="1"/>
  <c r="S12" i="13" l="1"/>
  <c r="R14" i="8" s="1"/>
  <c r="S16" i="7"/>
  <c r="T15" i="7" s="1"/>
  <c r="T28" i="11" s="1"/>
  <c r="T31" i="11" s="1"/>
  <c r="T20" i="7" s="1"/>
  <c r="T21" i="7" s="1"/>
  <c r="T3" i="13" s="1"/>
  <c r="T8" i="13" s="1"/>
  <c r="T11" i="13" s="1"/>
  <c r="R13" i="8"/>
  <c r="S29" i="11" l="1"/>
  <c r="T16" i="7"/>
  <c r="T29" i="11" s="1"/>
  <c r="S13" i="8"/>
  <c r="T12" i="13"/>
  <c r="S14" i="8" s="1"/>
  <c r="U15" i="7" l="1"/>
  <c r="U28" i="11" s="1"/>
  <c r="U31" i="11" s="1"/>
  <c r="U20" i="7" s="1"/>
  <c r="U21" i="7" s="1"/>
  <c r="U3" i="13" s="1"/>
  <c r="U8" i="13" s="1"/>
  <c r="U11" i="13" s="1"/>
  <c r="U12" i="13" s="1"/>
  <c r="T14" i="8" s="1"/>
  <c r="T13" i="8" l="1"/>
  <c r="U16" i="7"/>
  <c r="V15" i="7" s="1"/>
  <c r="U29" i="11" l="1"/>
  <c r="V16" i="7"/>
  <c r="V28" i="11"/>
  <c r="V31" i="11" s="1"/>
  <c r="V20" i="7" s="1"/>
  <c r="V21" i="7" s="1"/>
  <c r="V3" i="13" s="1"/>
  <c r="V8" i="13" s="1"/>
  <c r="V11" i="13" s="1"/>
  <c r="V29" i="11" l="1"/>
  <c r="W15" i="7"/>
  <c r="V12" i="13"/>
  <c r="U14" i="8" s="1"/>
  <c r="U13" i="8"/>
  <c r="W16" i="7" l="1"/>
  <c r="W28" i="11"/>
  <c r="W31" i="11" s="1"/>
  <c r="W20" i="7" s="1"/>
  <c r="W21" i="7" s="1"/>
  <c r="W3" i="13" s="1"/>
  <c r="W8" i="13" s="1"/>
  <c r="W11" i="13" s="1"/>
  <c r="W29" i="11" l="1"/>
  <c r="X15" i="7"/>
  <c r="X28" i="11" s="1"/>
  <c r="X31" i="11" s="1"/>
  <c r="X20" i="7" s="1"/>
  <c r="X21" i="7" s="1"/>
  <c r="X3" i="13" s="1"/>
  <c r="X8" i="13" s="1"/>
  <c r="X11" i="13" s="1"/>
  <c r="V13" i="8"/>
  <c r="W12" i="13"/>
  <c r="V14" i="8" s="1"/>
  <c r="X16" i="7" l="1"/>
  <c r="Y15" i="7" s="1"/>
  <c r="Y28" i="11" s="1"/>
  <c r="Y31" i="11" s="1"/>
  <c r="Y20" i="7" s="1"/>
  <c r="Y21" i="7" s="1"/>
  <c r="Y3" i="13" s="1"/>
  <c r="Y8" i="13" s="1"/>
  <c r="Y11" i="13" s="1"/>
  <c r="B18" i="8"/>
  <c r="E18" i="8" s="1"/>
  <c r="C18" i="8"/>
  <c r="F18" i="8" s="1"/>
  <c r="X12" i="13"/>
  <c r="W14" i="8" s="1"/>
  <c r="W13" i="8"/>
  <c r="Y16" i="7" l="1"/>
  <c r="Z15" i="7" s="1"/>
  <c r="Z28" i="11" s="1"/>
  <c r="Z31" i="11" s="1"/>
  <c r="Z20" i="7" s="1"/>
  <c r="Z21" i="7" s="1"/>
  <c r="Z3" i="13" s="1"/>
  <c r="Z8" i="13" s="1"/>
  <c r="Z11" i="13" s="1"/>
  <c r="X29" i="11"/>
  <c r="X13" i="8"/>
  <c r="Y12" i="13"/>
  <c r="X14" i="8" s="1"/>
  <c r="Y29" i="11" l="1"/>
  <c r="Z16" i="7"/>
  <c r="AA15" i="7" s="1"/>
  <c r="AA28" i="11" s="1"/>
  <c r="AA31" i="11" s="1"/>
  <c r="AA20" i="7" s="1"/>
  <c r="AA21" i="7" s="1"/>
  <c r="AA3" i="13" s="1"/>
  <c r="AA8" i="13" s="1"/>
  <c r="AA11" i="13" s="1"/>
  <c r="Y13" i="8"/>
  <c r="Z12" i="13"/>
  <c r="Y14" i="8" s="1"/>
  <c r="Z29" i="11" l="1"/>
  <c r="AA16" i="7"/>
  <c r="AA29" i="11" s="1"/>
  <c r="AA12" i="13"/>
  <c r="Z14" i="8" s="1"/>
  <c r="Z13" i="8"/>
  <c r="AB15" i="7" l="1"/>
  <c r="AB28" i="11" s="1"/>
  <c r="AB31" i="11" s="1"/>
  <c r="AB20" i="7" s="1"/>
  <c r="AB21" i="7" s="1"/>
  <c r="AB3" i="13" s="1"/>
  <c r="AB8" i="13" s="1"/>
  <c r="AB11" i="13" s="1"/>
  <c r="AA13" i="8" s="1"/>
  <c r="AB12" i="13" l="1"/>
  <c r="AA14" i="8" s="1"/>
  <c r="AB16" i="7"/>
  <c r="AB29" i="11" s="1"/>
  <c r="C17" i="8"/>
  <c r="F17" i="8" s="1"/>
  <c r="B17" i="8"/>
  <c r="E17" i="8" s="1"/>
  <c r="G1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MAXIVALOR</author>
    <author>armindo.miranda</author>
  </authors>
  <commentList>
    <comment ref="E6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MAXIVALOR:</t>
        </r>
        <r>
          <rPr>
            <sz val="9"/>
            <color indexed="81"/>
            <rFont val="Tahoma"/>
            <family val="2"/>
          </rPr>
          <t xml:space="preserve">
740773 SINAPI-SE set.2018</t>
        </r>
      </text>
    </comment>
    <comment ref="E6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MAXIVALOR:</t>
        </r>
        <r>
          <rPr>
            <sz val="9"/>
            <color indexed="81"/>
            <rFont val="Tahoma"/>
            <family val="2"/>
          </rPr>
          <t xml:space="preserve">
R$27.218,27 transformador SINAPI-SE</t>
        </r>
      </text>
    </comment>
    <comment ref="E6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Galpão G1 - SINDUSCON SE out.2018</t>
        </r>
      </text>
    </comment>
    <comment ref="E7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Galpão G1 - SINDUSCON SE out.2018</t>
        </r>
      </text>
    </comment>
    <comment ref="E7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Galpão G1 - SINDUSCON SE out.2018</t>
        </r>
      </text>
    </comment>
    <comment ref="E7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armindo.miranda:
CSL-8 Sinduscon SE
out.2018
</t>
        </r>
      </text>
    </comment>
    <comment ref="E7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Galpão G1 - SINDUSCON SE out.2018</t>
        </r>
      </text>
    </comment>
    <comment ref="E7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armindo.miranda:
CSL-8 Sinduscon SE
out.2018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</author>
    <author>Tania</author>
    <author>MAXIVALOR</author>
  </authors>
  <commentList>
    <comment ref="H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IPCA 2021
10,06%
</t>
        </r>
      </text>
    </comment>
    <comment ref="B12" authorId="1" shapeId="0" xr:uid="{00000000-0006-0000-0200-000002000000}">
      <text>
        <r>
          <rPr>
            <b/>
            <sz val="9"/>
            <color indexed="81"/>
            <rFont val="Segoe UI"/>
            <family val="2"/>
          </rPr>
          <t>Tania:</t>
        </r>
        <r>
          <rPr>
            <sz val="9"/>
            <color indexed="81"/>
            <rFont val="Segoe UI"/>
            <family val="2"/>
          </rPr>
          <t xml:space="preserve">
Incluído nas despesas</t>
        </r>
      </text>
    </comment>
    <comment ref="E13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MAXIVALOR:</t>
        </r>
        <r>
          <rPr>
            <sz val="9"/>
            <color indexed="81"/>
            <rFont val="Tahoma"/>
            <family val="2"/>
          </rPr>
          <t xml:space="preserve">
SINERTEC
</t>
        </r>
      </text>
    </comment>
    <comment ref="E14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MAXIVALOR:</t>
        </r>
        <r>
          <rPr>
            <sz val="9"/>
            <color indexed="81"/>
            <rFont val="Tahoma"/>
            <family val="2"/>
          </rPr>
          <t xml:space="preserve">
SINERTEC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Vitor Pedreira Gonzalez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Fonte</t>
        </r>
      </text>
    </comment>
    <comment ref="D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REFERENTE AO TRATAMENTO/DIA E NÃO GERAÇÃO/DIA</t>
        </r>
      </text>
    </comment>
    <comment ref="E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Apenas dias úteis
REVER MÉTODO</t>
        </r>
      </text>
    </comment>
    <comment ref="F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Apenas dias úteis</t>
        </r>
      </text>
    </comment>
    <comment ref="G1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Tabela CEMPRE para ARACAJU</t>
        </r>
      </text>
    </comment>
    <comment ref="G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Média Ponderada</t>
        </r>
      </text>
    </comment>
    <comment ref="G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MÉDIA PONDERADA DO PREÇO DE TODOS RECICLÁVEIS</t>
        </r>
      </text>
    </comment>
    <comment ref="D4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Geração, não o que será processado (dias úteis)</t>
        </r>
      </text>
    </comment>
    <comment ref="D54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Metodologia levemente distorcida (não dividiu o anual por 12)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armindo.miranda</author>
    <author>User</author>
    <author>MAXIVALOR</author>
  </authors>
  <commentList>
    <comment ref="E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Grau médio - definido por  convenção sindical</t>
        </r>
      </text>
    </comment>
    <comment ref="G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Grau médio - definido por  convenção sindical</t>
        </r>
      </text>
    </comment>
    <comment ref="A7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Equipe para inicio de produção</t>
        </r>
      </text>
    </comment>
    <comment ref="C30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>MAXIVALOR:</t>
        </r>
        <r>
          <rPr>
            <sz val="9"/>
            <color indexed="81"/>
            <rFont val="Tahoma"/>
            <family val="2"/>
          </rPr>
          <t xml:space="preserve">
10% a mais do salário mínimo 2019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Maicon Cunha</author>
  </authors>
  <commentList>
    <comment ref="A4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Maicon Cunha:</t>
        </r>
        <r>
          <rPr>
            <sz val="9"/>
            <color indexed="81"/>
            <rFont val="Segoe UI"/>
            <family val="2"/>
          </rPr>
          <t xml:space="preserve">
Maiores aumentos dos últimos 10 anos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armindo.miranda</author>
  </authors>
  <commentList>
    <comment ref="G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aprox. 1,2%a.m.</t>
        </r>
      </text>
    </comment>
    <comment ref="I2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armindo.miranda:</t>
        </r>
        <r>
          <rPr>
            <sz val="9"/>
            <color indexed="81"/>
            <rFont val="Tahoma"/>
            <family val="2"/>
          </rPr>
          <t xml:space="preserve">
Capitalizado ao final de 12 meses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Vitor Pedreira Gonzalez</author>
  </authors>
  <commentList>
    <comment ref="B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Vitor Pedreira Gonzalez:</t>
        </r>
        <r>
          <rPr>
            <sz val="9"/>
            <color indexed="81"/>
            <rFont val="Tahoma"/>
            <family val="2"/>
          </rPr>
          <t xml:space="preserve">
Tesouro Prefixado 2019 (http://www.tesouro.fazenda.gov.br/tesouro-direto-calculadora)</t>
        </r>
      </text>
    </comment>
  </commentList>
</comments>
</file>

<file path=xl/sharedStrings.xml><?xml version="1.0" encoding="utf-8"?>
<sst xmlns="http://schemas.openxmlformats.org/spreadsheetml/2006/main" count="1404" uniqueCount="770">
  <si>
    <t>Investimentos</t>
  </si>
  <si>
    <t>Sondagem</t>
  </si>
  <si>
    <t>Cercamento</t>
  </si>
  <si>
    <t>Ligação de Água e Energia</t>
  </si>
  <si>
    <t>Vigilância (período de implantação)</t>
  </si>
  <si>
    <t>SUBTOTAL</t>
  </si>
  <si>
    <t>Máquinas e Equipamentos</t>
  </si>
  <si>
    <t>Balança (40t)</t>
  </si>
  <si>
    <t>Pá Carregadeira</t>
  </si>
  <si>
    <t>Veículos</t>
  </si>
  <si>
    <t>Empilhadeira</t>
  </si>
  <si>
    <t>Retroescavadeira</t>
  </si>
  <si>
    <t>Trator de esteira</t>
  </si>
  <si>
    <t>Móveis e Utensílios</t>
  </si>
  <si>
    <t>Ar Condicionado</t>
  </si>
  <si>
    <t>Cadeiras</t>
  </si>
  <si>
    <t>Mesas</t>
  </si>
  <si>
    <t>Bebedouro</t>
  </si>
  <si>
    <t>Geladeira</t>
  </si>
  <si>
    <t>Tecnologia da Informação</t>
  </si>
  <si>
    <t>Aquisição Sistema Informática</t>
  </si>
  <si>
    <t>Computadores</t>
  </si>
  <si>
    <t>Estabilizadores</t>
  </si>
  <si>
    <t>Impressoras</t>
  </si>
  <si>
    <t>Telefones</t>
  </si>
  <si>
    <t>Estudos de Demanda</t>
  </si>
  <si>
    <t>Mobilização e Desmobilização equipe</t>
  </si>
  <si>
    <t>Divulgação</t>
  </si>
  <si>
    <t>TOTAL</t>
  </si>
  <si>
    <t>Unidade</t>
  </si>
  <si>
    <t>Total</t>
  </si>
  <si>
    <t>Geração</t>
  </si>
  <si>
    <t>Recicláveis</t>
  </si>
  <si>
    <t>Matéria Orgânica</t>
  </si>
  <si>
    <t>Rejeito Previsto</t>
  </si>
  <si>
    <t>Valor Comercial/mês</t>
  </si>
  <si>
    <t>Fonte</t>
  </si>
  <si>
    <t>Item</t>
  </si>
  <si>
    <t>Descrição</t>
  </si>
  <si>
    <t>Quantidade</t>
  </si>
  <si>
    <t>habitante</t>
  </si>
  <si>
    <t>1.1</t>
  </si>
  <si>
    <t>RSU por habitante/dia</t>
  </si>
  <si>
    <t>kg/habxdia</t>
  </si>
  <si>
    <t>1.2</t>
  </si>
  <si>
    <t>Quantidade RSU recolhido/dia</t>
  </si>
  <si>
    <t>ton/dia</t>
  </si>
  <si>
    <t>População</t>
  </si>
  <si>
    <t>PRODUÇÃO DIÁRIA DE RSU</t>
  </si>
  <si>
    <t>% No RSU</t>
  </si>
  <si>
    <t>% Comercial</t>
  </si>
  <si>
    <t>Ton/Dia</t>
  </si>
  <si>
    <t>Ton/Mês</t>
  </si>
  <si>
    <t xml:space="preserve">Descrição </t>
  </si>
  <si>
    <t>Percentual</t>
  </si>
  <si>
    <t>Produção (ton)</t>
  </si>
  <si>
    <t>Diário</t>
  </si>
  <si>
    <t>Anual</t>
  </si>
  <si>
    <t>Papel</t>
  </si>
  <si>
    <t>Papelão</t>
  </si>
  <si>
    <t>Tetra Pack</t>
  </si>
  <si>
    <t>Sub total (papel)</t>
  </si>
  <si>
    <t>Plástico filme</t>
  </si>
  <si>
    <t>Sub total (plástico)</t>
  </si>
  <si>
    <t>Material orgânico putrecível</t>
  </si>
  <si>
    <t>Folhas/podas/arbustos</t>
  </si>
  <si>
    <t>Madeira</t>
  </si>
  <si>
    <t>Resíduo de serviço de saúde</t>
  </si>
  <si>
    <t>Pano/trapo</t>
  </si>
  <si>
    <t>Sub total (orgânico)</t>
  </si>
  <si>
    <t>Sub total (metal)</t>
  </si>
  <si>
    <t>Pedra</t>
  </si>
  <si>
    <t>Louça/cerâmica</t>
  </si>
  <si>
    <t>Agregado fino (varrição)</t>
  </si>
  <si>
    <t>Vidro incolor</t>
  </si>
  <si>
    <t>Vidro colorido</t>
  </si>
  <si>
    <t>Sub total (inerte)</t>
  </si>
  <si>
    <t>Pneu</t>
  </si>
  <si>
    <t>Borracha</t>
  </si>
  <si>
    <t>Sub Total (pneu)</t>
  </si>
  <si>
    <t xml:space="preserve">Total de RSU </t>
  </si>
  <si>
    <t>Quadro I - Composição Graviométrica médio de "RSU"</t>
  </si>
  <si>
    <t>Mensal</t>
  </si>
  <si>
    <t>R$/Ton</t>
  </si>
  <si>
    <t>Receita Mensal</t>
  </si>
  <si>
    <t>Receita Anual</t>
  </si>
  <si>
    <t>Receita Diária</t>
  </si>
  <si>
    <t>Valor/ton</t>
  </si>
  <si>
    <t>PLANO DE VENDAS</t>
  </si>
  <si>
    <t>Dias do mês trabalhados</t>
  </si>
  <si>
    <t>Plano de Vendas</t>
  </si>
  <si>
    <t>Unid.</t>
  </si>
  <si>
    <t>Preço Unit.</t>
  </si>
  <si>
    <t>Produtos a vender</t>
  </si>
  <si>
    <t>Tarifa Municipal</t>
  </si>
  <si>
    <t>ton/mês</t>
  </si>
  <si>
    <t>Desconto ao cliente</t>
  </si>
  <si>
    <t>Materiais Recicláveis</t>
  </si>
  <si>
    <t>Adubo Orgânico</t>
  </si>
  <si>
    <t>Desconto da Umidade</t>
  </si>
  <si>
    <t>Total Recicláveis</t>
  </si>
  <si>
    <t>RSU POR TIPO (Ano 1)</t>
  </si>
  <si>
    <t>Pag 51 Caderno II</t>
  </si>
  <si>
    <t>Plástico</t>
  </si>
  <si>
    <t>Aço</t>
  </si>
  <si>
    <t>Alumínio</t>
  </si>
  <si>
    <t>Papel, Papelão, Tetra Pak</t>
  </si>
  <si>
    <t>Plástico Filme</t>
  </si>
  <si>
    <t>Plástico Rígido</t>
  </si>
  <si>
    <t>Percentual no BRASIL</t>
  </si>
  <si>
    <t>Vidro</t>
  </si>
  <si>
    <t>Percentual AGRESE (média ponderada)</t>
  </si>
  <si>
    <t>% Recicláveis no Brasil</t>
  </si>
  <si>
    <t>% Recicláveis AGRESE</t>
  </si>
  <si>
    <t>Divisão gravimétrica dos recicláveis</t>
  </si>
  <si>
    <t>Ano</t>
  </si>
  <si>
    <t>Geração de Materias Recicláveis</t>
  </si>
  <si>
    <t>Diária (t/dia)</t>
  </si>
  <si>
    <t>Mensal (t/mês)</t>
  </si>
  <si>
    <t xml:space="preserve">Anual </t>
  </si>
  <si>
    <t>(t/ano)</t>
  </si>
  <si>
    <t>Acumulado (t)</t>
  </si>
  <si>
    <t>Geração Total de Resíduos</t>
  </si>
  <si>
    <t>Geração de Composto orgânico</t>
  </si>
  <si>
    <t>Ja foi computado na geracao do adubo em Gravimetria</t>
  </si>
  <si>
    <t>Clientes</t>
  </si>
  <si>
    <t>Tarifa</t>
  </si>
  <si>
    <t>Inserção</t>
  </si>
  <si>
    <t>1.3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</si>
  <si>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</si>
  <si>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</si>
  <si>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</si>
  <si>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</si>
  <si>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</si>
  <si>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</si>
  <si>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</si>
  <si>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</si>
  <si>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</si>
  <si>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</si>
  <si>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</si>
  <si>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</si>
  <si>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</si>
  <si>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</si>
  <si>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</si>
  <si>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</si>
  <si>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</si>
  <si>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</si>
  <si>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</si>
  <si>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</si>
  <si>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</si>
  <si>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</si>
  <si>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</si>
  <si>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</si>
  <si>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</si>
  <si>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Quant.( ano 1)</t>
  </si>
  <si>
    <t>Receitas - Anualizado</t>
  </si>
  <si>
    <t>Receitas - Mensal</t>
  </si>
  <si>
    <t>Mês sem faturamento vai no ano 0</t>
  </si>
  <si>
    <t>DEMONSTRATIVO DE DESPESAS</t>
  </si>
  <si>
    <t>Assistente Social</t>
  </si>
  <si>
    <t>Treinamento</t>
  </si>
  <si>
    <t>SUBTOTAL  PESSOAL</t>
  </si>
  <si>
    <t>DESPESAS GERAIS</t>
  </si>
  <si>
    <t>ENERGIA</t>
  </si>
  <si>
    <t>AGUA</t>
  </si>
  <si>
    <t>TELEFONE/INTERNET</t>
  </si>
  <si>
    <t>MAT. HIG. E EXP.</t>
  </si>
  <si>
    <t>CONTABILIDADE</t>
  </si>
  <si>
    <t>JURÍDICO</t>
  </si>
  <si>
    <t>MANUT. TI</t>
  </si>
  <si>
    <t>DESLOCAMENTOS E DIARIAS</t>
  </si>
  <si>
    <t>Combustíveis de máq. e equip.</t>
  </si>
  <si>
    <t>SUBTOTAL DESPESAS</t>
  </si>
  <si>
    <t>CUSTOS DIRETOS</t>
  </si>
  <si>
    <t>SUBTOTAL DOS CUSTOS DIRETOS</t>
  </si>
  <si>
    <t>TOTAL DE CUSTOS E DESPESAS</t>
  </si>
  <si>
    <t>DESP. ANUAIS</t>
  </si>
  <si>
    <t>MENSAL (Ano 1)</t>
  </si>
  <si>
    <t>Créditos de Carbono</t>
  </si>
  <si>
    <t>REINVESTIMENTOS PREVISTOS</t>
  </si>
  <si>
    <t>Equipamento adicional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</si>
  <si>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</si>
  <si>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</si>
  <si>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</si>
  <si>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</si>
  <si>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</si>
  <si>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</si>
  <si>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</si>
  <si>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</si>
  <si>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</si>
  <si>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</si>
  <si>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</si>
  <si>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RECEITAS PROJETADAS</t>
  </si>
  <si>
    <t>MATERIAL RECICLAVEL</t>
  </si>
  <si>
    <t>ADUBO ORGÂNICO</t>
  </si>
  <si>
    <t>DESPESAS OPERACIONAIS PROJETADAS</t>
  </si>
  <si>
    <t>CUSTOS OPERACIONAIS</t>
  </si>
  <si>
    <t>EBITDA</t>
  </si>
  <si>
    <t>Juros Financiamento</t>
  </si>
  <si>
    <t>Imposto de renda + CSLL</t>
  </si>
  <si>
    <t>Lucro Líquido</t>
  </si>
  <si>
    <t xml:space="preserve">Royalties 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</si>
  <si>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</si>
  <si>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</si>
  <si>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</si>
  <si>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</si>
  <si>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</si>
  <si>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</si>
  <si>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</si>
  <si>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</si>
  <si>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</si>
  <si>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</si>
  <si>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</si>
  <si>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</si>
  <si>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</si>
  <si>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</si>
  <si>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</si>
  <si>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Análise Econômica</t>
  </si>
  <si>
    <t>DADOS DO PROJETO</t>
  </si>
  <si>
    <t>Introduza aqui os dados do seu projeto:</t>
  </si>
  <si>
    <t>Ano de start-up da instalação</t>
  </si>
  <si>
    <t>Taxa mínima de atratividade do investimento</t>
  </si>
  <si>
    <t>Fluxos de caixa no final do ano</t>
  </si>
  <si>
    <t>Fluxos de caixa acumulados</t>
  </si>
  <si>
    <t>Indicadores de viabilidade</t>
  </si>
  <si>
    <t>TIR</t>
  </si>
  <si>
    <t>VPL</t>
  </si>
  <si>
    <t>ANO</t>
  </si>
  <si>
    <t>TMA</t>
  </si>
  <si>
    <t>TIR e VLP p/ 25 anos =</t>
  </si>
  <si>
    <t>TIR e VLP p/ 20 anos =</t>
  </si>
  <si>
    <t>TIR e VLP p/ 15 anos =</t>
  </si>
  <si>
    <t>TIR e VLP p/ 10 anos =</t>
  </si>
  <si>
    <t>TIR e VLP p/ 05 anos =</t>
  </si>
  <si>
    <t>Fluxo Financeiro (Acionista)</t>
  </si>
  <si>
    <t>Fonte: Cempre (http://cempre.org.br/servico/mercado)</t>
  </si>
  <si>
    <t>Quantidade de RSU tratado/dia</t>
  </si>
  <si>
    <t>ton/dia útil</t>
  </si>
  <si>
    <t>Considerando 300 dias úteis no ano</t>
  </si>
  <si>
    <t>Material</t>
  </si>
  <si>
    <t>Plástico rígido</t>
  </si>
  <si>
    <t>Receitas</t>
  </si>
  <si>
    <t>Descriminação</t>
  </si>
  <si>
    <t>Preço Unitário</t>
  </si>
  <si>
    <t>Preço Total</t>
  </si>
  <si>
    <t>1.0</t>
  </si>
  <si>
    <t>Pré Implantação</t>
  </si>
  <si>
    <t>Estudos Preliminares</t>
  </si>
  <si>
    <t>1.1.1</t>
  </si>
  <si>
    <t>Levantamento Planialtimétrio</t>
  </si>
  <si>
    <t>m²</t>
  </si>
  <si>
    <t>1.1.2</t>
  </si>
  <si>
    <t>m</t>
  </si>
  <si>
    <t>1.1.3</t>
  </si>
  <si>
    <t>Georreferenciamento</t>
  </si>
  <si>
    <t>1.1.4</t>
  </si>
  <si>
    <t>Pedologia</t>
  </si>
  <si>
    <t>und</t>
  </si>
  <si>
    <t>1.1.5</t>
  </si>
  <si>
    <t>Mapa Geológico</t>
  </si>
  <si>
    <t>1.1.6</t>
  </si>
  <si>
    <t>Mapa Hidrogeológico</t>
  </si>
  <si>
    <t>1.1.7</t>
  </si>
  <si>
    <t>RCE - Roteiro de Caracterização do Empreendimento</t>
  </si>
  <si>
    <t>1.1.8</t>
  </si>
  <si>
    <t>Dimensionamento do Projeto</t>
  </si>
  <si>
    <t>1.2.1</t>
  </si>
  <si>
    <t>1.2.2</t>
  </si>
  <si>
    <t>Dimensionamento de Vias e Pistas de Acesso</t>
  </si>
  <si>
    <t>1.2.3</t>
  </si>
  <si>
    <t>Dimensionamento das células de disposição de rejeitos</t>
  </si>
  <si>
    <t>1.2.4</t>
  </si>
  <si>
    <t>Dimensionamento dos Equipamentos e Instalações</t>
  </si>
  <si>
    <t>1.2.5</t>
  </si>
  <si>
    <t>Levantamento e dimensionamento da rede de drenagem</t>
  </si>
  <si>
    <t>1.2.6</t>
  </si>
  <si>
    <t>Dimensionamento das redes de lixiviados</t>
  </si>
  <si>
    <t>Projetos executivos</t>
  </si>
  <si>
    <t>1.3.1</t>
  </si>
  <si>
    <t>Planta Geral da Unidade</t>
  </si>
  <si>
    <t>1.3.2</t>
  </si>
  <si>
    <t>Planta Baixa do Administrativo</t>
  </si>
  <si>
    <t>1.3.3</t>
  </si>
  <si>
    <t>Planta da Unidade de Processamento</t>
  </si>
  <si>
    <t>1.3.4</t>
  </si>
  <si>
    <t>Planta Estrutural</t>
  </si>
  <si>
    <t>1.3.5</t>
  </si>
  <si>
    <t>Planta Elétrica</t>
  </si>
  <si>
    <t>1.3.6</t>
  </si>
  <si>
    <t>Planta  das redes de Água e Esgoto</t>
  </si>
  <si>
    <t>1.3.7</t>
  </si>
  <si>
    <t>Projeto de pavimentação de pistas e acessos</t>
  </si>
  <si>
    <t>1.3.8</t>
  </si>
  <si>
    <t>Projeto de tratamento de águas residuais</t>
  </si>
  <si>
    <t>1.3.9</t>
  </si>
  <si>
    <t>Planta de Operação da unidade de Rejeitos finais</t>
  </si>
  <si>
    <t>1.3.10</t>
  </si>
  <si>
    <t>Planta do Centro Educacional</t>
  </si>
  <si>
    <t>1.3.11</t>
  </si>
  <si>
    <t>Projeto de drenagem de águas pluviais</t>
  </si>
  <si>
    <t>1.3.12</t>
  </si>
  <si>
    <t>Planta de drenagem do sistema de tratamento</t>
  </si>
  <si>
    <t>1.3.13</t>
  </si>
  <si>
    <t>Planta do Sistema de Gases e piezômetros</t>
  </si>
  <si>
    <t>1.3.14</t>
  </si>
  <si>
    <t>Projeto de poços de monitoramento</t>
  </si>
  <si>
    <t>1.3.15</t>
  </si>
  <si>
    <t>Memorial executivo</t>
  </si>
  <si>
    <t>1.3.16</t>
  </si>
  <si>
    <t>Memorial descritivo da Obra</t>
  </si>
  <si>
    <t>1.4</t>
  </si>
  <si>
    <t>Licenciamentos</t>
  </si>
  <si>
    <t>1.4.1</t>
  </si>
  <si>
    <t>Licença de localização</t>
  </si>
  <si>
    <t>1.4.2</t>
  </si>
  <si>
    <t>Licença de Implantação</t>
  </si>
  <si>
    <t>1.4.3</t>
  </si>
  <si>
    <t>Licença de Operação</t>
  </si>
  <si>
    <t>1.5</t>
  </si>
  <si>
    <t>Aquisição do Terreno</t>
  </si>
  <si>
    <t>1.5.1</t>
  </si>
  <si>
    <t>Área Rural</t>
  </si>
  <si>
    <t>2.0</t>
  </si>
  <si>
    <t>Implantação</t>
  </si>
  <si>
    <t>2.1</t>
  </si>
  <si>
    <t>Infraestrutura (Obra Civil)</t>
  </si>
  <si>
    <t>Preparo do Terreno</t>
  </si>
  <si>
    <t>Regularização e compactação subleito</t>
  </si>
  <si>
    <t>Drenagem de águas pluviais</t>
  </si>
  <si>
    <t>Drenagem do sistema de tratamento</t>
  </si>
  <si>
    <t>Sistema de Gases e piezômetros</t>
  </si>
  <si>
    <t>SINAPI-90704</t>
  </si>
  <si>
    <t>Poços de monitoramento</t>
  </si>
  <si>
    <t xml:space="preserve">Vala para disposição final </t>
  </si>
  <si>
    <t>m³</t>
  </si>
  <si>
    <t>Escritório + Vestiário + Refeitório + Portaria</t>
  </si>
  <si>
    <t xml:space="preserve">Centro Educacional </t>
  </si>
  <si>
    <t>Circulação Maq. E Equip.</t>
  </si>
  <si>
    <t>3.0</t>
  </si>
  <si>
    <t>3.1</t>
  </si>
  <si>
    <t>Central de Processamento</t>
  </si>
  <si>
    <t>3.2</t>
  </si>
  <si>
    <t>3.3</t>
  </si>
  <si>
    <t>3.4</t>
  </si>
  <si>
    <t>3.5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</si>
  <si>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</si>
  <si>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</si>
  <si>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</si>
  <si>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</si>
  <si>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</si>
  <si>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</si>
  <si>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</si>
  <si>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</si>
  <si>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</si>
  <si>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5.3</t>
  </si>
  <si>
    <t>5.4</t>
  </si>
  <si>
    <t>5.5</t>
  </si>
  <si>
    <t>6.0</t>
  </si>
  <si>
    <t>Administração para implantação do Empreendimento</t>
  </si>
  <si>
    <t>6.1</t>
  </si>
  <si>
    <t>Administração</t>
  </si>
  <si>
    <t>%</t>
  </si>
  <si>
    <t>6.2</t>
  </si>
  <si>
    <t>7.0</t>
  </si>
  <si>
    <t>Outros Investimentos</t>
  </si>
  <si>
    <t>7.1</t>
  </si>
  <si>
    <t>Contratos</t>
  </si>
  <si>
    <t>7.2</t>
  </si>
  <si>
    <t>1.6</t>
  </si>
  <si>
    <t>Reembolso da PMI</t>
  </si>
  <si>
    <t>1.6.1</t>
  </si>
  <si>
    <t xml:space="preserve">Elaboração, execução e gestão de projetos para a Instalação de Usinas de Triagem </t>
  </si>
  <si>
    <t>1.6.2</t>
  </si>
  <si>
    <t>Elaboração de estudos de gestao de sistemas de tratamento e disposição final de rejeitos provenientes do processo de triagem de RSU</t>
  </si>
  <si>
    <t>1.6.3</t>
  </si>
  <si>
    <t>Modelagem Econômico-Financeira e plano de Negócio</t>
  </si>
  <si>
    <t>1.6.4</t>
  </si>
  <si>
    <t>Modelagem Jurídico</t>
  </si>
  <si>
    <t>ref. Áreas pavimentadas</t>
  </si>
  <si>
    <t>Ponto de Abastecimento</t>
  </si>
  <si>
    <t>Oficina mecânica + lavador de veículos</t>
  </si>
  <si>
    <t>Caminhão Caçamba 8t</t>
  </si>
  <si>
    <t>Locação das Obras</t>
  </si>
  <si>
    <t>1.7</t>
  </si>
  <si>
    <t>1.8</t>
  </si>
  <si>
    <t>1.9</t>
  </si>
  <si>
    <t>2.2</t>
  </si>
  <si>
    <t>2.3</t>
  </si>
  <si>
    <t>2.4</t>
  </si>
  <si>
    <t>2.5</t>
  </si>
  <si>
    <t>2.6</t>
  </si>
  <si>
    <t xml:space="preserve">Infraestrutura </t>
  </si>
  <si>
    <t>Gases</t>
  </si>
  <si>
    <t>Lençol freático (1 análise/trimestre durante 20 anos)</t>
  </si>
  <si>
    <t>um</t>
  </si>
  <si>
    <t>Regularização e compactação</t>
  </si>
  <si>
    <t>Plantil de grama nos taludes e bermas</t>
  </si>
  <si>
    <t>Monitoramento - ocorre ao longo da operação + 20 anos após operação</t>
  </si>
  <si>
    <t>Manutenção Máquinas e equipamento</t>
  </si>
  <si>
    <t>z</t>
  </si>
  <si>
    <t>IBGE, 2018</t>
  </si>
  <si>
    <t>Inflação Média últimos 10 anos (IPCA)</t>
  </si>
  <si>
    <t>Impostos diretos sobre produtos</t>
  </si>
  <si>
    <t>ICMS</t>
  </si>
  <si>
    <t>PIS</t>
  </si>
  <si>
    <t>COFINS</t>
  </si>
  <si>
    <t>Impostos diretos sobre servico</t>
  </si>
  <si>
    <t>ISS</t>
  </si>
  <si>
    <t>Impostos sobre lucro líquido</t>
  </si>
  <si>
    <t>IRPJ (Até 20.000)</t>
  </si>
  <si>
    <t>IRPJ (Parcela superior a 20.000)</t>
  </si>
  <si>
    <t>CSLL</t>
  </si>
  <si>
    <t>Aquisições de Mercadorias para revenda, exceto se as mesmas forem sujeitas a Incidência Monofásica, Alíquota Zero ou Substituição Tributárias;</t>
  </si>
  <si>
    <t>Aquisições de Insumos para serem utilizados na fabricação de produtos;</t>
  </si>
  <si>
    <t>Aluguéis de prédios máquinas e equipamentos, utilizados na atividade da empresa, pagos à pessoas jurídicas; (Inc. IV, art. 3º, Lei 10.637);</t>
  </si>
  <si>
    <t>Energia Elétrica consumida nos estabelecimentos da empresa (inciso IX, art. 3º, Lei 10.637);</t>
  </si>
  <si>
    <t>Custo de Armazenagem de Mercadorias;</t>
  </si>
  <si>
    <t>Frete CIF Saídas (Art.15, da Lei 10.833);</t>
  </si>
  <si>
    <t>Frete FOB nas Compras de Mercadorias (Art.15, da Lei 10.833);</t>
  </si>
  <si>
    <t>Depreciação de edificações e benfeitorias em imóveis próprios ou de terceiros, utilizados nas atividades da empresa;</t>
  </si>
  <si>
    <t>Os créditos (PIS E COFINS) são admitidos para as seguintes situações:</t>
  </si>
  <si>
    <t>Fluxo de Caixa Operacional</t>
  </si>
  <si>
    <t>Fluxo de Caixa Livre</t>
  </si>
  <si>
    <t>Investimento</t>
  </si>
  <si>
    <t>Capital de Giro</t>
  </si>
  <si>
    <t>Amortização Financiamento</t>
  </si>
  <si>
    <t>Taxa de depreciação</t>
  </si>
  <si>
    <t>Vida útil (anos)</t>
  </si>
  <si>
    <t>Infraestrutura</t>
  </si>
  <si>
    <t>Máquinas, móveis, utensílios, IT</t>
  </si>
  <si>
    <t>Reinvestimento em Infraestrutura</t>
  </si>
  <si>
    <t>IPCA</t>
  </si>
  <si>
    <t>Preço C/Inflação</t>
  </si>
  <si>
    <t>Reinvestimento em máquinas, móveis, utensílios, IT</t>
  </si>
  <si>
    <t>Depreciação</t>
  </si>
  <si>
    <t>Exposição de Caixa</t>
  </si>
  <si>
    <t>Juros Financiamento - IR sobre juros</t>
  </si>
  <si>
    <t>Impostos diretos sobre serviços</t>
  </si>
  <si>
    <t>Encerramento da Operação - Ano 11 e Ano 25</t>
  </si>
  <si>
    <t>Preço C/Inflação (Ano 11)</t>
  </si>
  <si>
    <t>Preço C/Inflação (Ano 25)</t>
  </si>
  <si>
    <t>Monitoramento do Aterro</t>
  </si>
  <si>
    <t>Perda por eficiência</t>
  </si>
  <si>
    <t>CDR</t>
  </si>
  <si>
    <t>Prejuízo acumulado utilizável no exercício</t>
  </si>
  <si>
    <t>Lucro (Prejuízo) acumulado</t>
  </si>
  <si>
    <t>Prejuízo acumulado para cálculo de IR</t>
  </si>
  <si>
    <t>EBIT</t>
  </si>
  <si>
    <t>EBT</t>
  </si>
  <si>
    <t>Créditos para ICMS</t>
  </si>
  <si>
    <t>Créditos para PIS</t>
  </si>
  <si>
    <t>Créditos Para COFINS</t>
  </si>
  <si>
    <t>Valor ICMS</t>
  </si>
  <si>
    <t>Valor PIS</t>
  </si>
  <si>
    <t>Valor COFINS</t>
  </si>
  <si>
    <t>Total Impostos diretos sobre produtos</t>
  </si>
  <si>
    <t>Valor ISS</t>
  </si>
  <si>
    <t>Total Impostos diretos sobre serviços</t>
  </si>
  <si>
    <t>Total impostos diretos</t>
  </si>
  <si>
    <t>Impostos diretos</t>
  </si>
  <si>
    <t>DRE</t>
  </si>
  <si>
    <t>FLUXO DE CAIXA</t>
  </si>
  <si>
    <t>Parcela Amortização</t>
  </si>
  <si>
    <t>Parcela Juros</t>
  </si>
  <si>
    <t>Parcela total</t>
  </si>
  <si>
    <t>Saldo Acumulado</t>
  </si>
  <si>
    <t>Parcela</t>
  </si>
  <si>
    <t>Amortização do Principal</t>
  </si>
  <si>
    <t>Juros</t>
  </si>
  <si>
    <t>Sócios</t>
  </si>
  <si>
    <t>BNB</t>
  </si>
  <si>
    <t>Meses</t>
  </si>
  <si>
    <t>ELEMENTOS DE DESPESAS DO INVESTIMENTO</t>
  </si>
  <si>
    <t>Financiamento</t>
  </si>
  <si>
    <t>Remuneração</t>
  </si>
  <si>
    <t>Prazo total</t>
  </si>
  <si>
    <t>Valor</t>
  </si>
  <si>
    <t>Carência</t>
  </si>
  <si>
    <t>FORMAS DE FINANCIAMENTO</t>
  </si>
  <si>
    <t>Amortização</t>
  </si>
  <si>
    <t xml:space="preserve">Dias </t>
  </si>
  <si>
    <t>Receita Líquida</t>
  </si>
  <si>
    <t>Custos + Despesas</t>
  </si>
  <si>
    <t>Dias de Receita (PMR)</t>
  </si>
  <si>
    <t>Dias de COGS (PME)</t>
  </si>
  <si>
    <t>Dias de COGS (PMR)</t>
  </si>
  <si>
    <t>Capital de Giro - Ativo Circulante</t>
  </si>
  <si>
    <t>Var. KG</t>
  </si>
  <si>
    <t>Dias de COGS (PMP)</t>
  </si>
  <si>
    <t>Capital de Giro - Passivo Circulante</t>
  </si>
  <si>
    <t>x</t>
  </si>
  <si>
    <t>Necessidade de Investimento em Giro</t>
  </si>
  <si>
    <t>Variação das NIG</t>
  </si>
  <si>
    <t>Serviço de Resíduos</t>
  </si>
  <si>
    <t>AGRESE</t>
  </si>
  <si>
    <t>Fontes:</t>
  </si>
  <si>
    <r>
      <t>Custo do Capital Próprio (K</t>
    </r>
    <r>
      <rPr>
        <b/>
        <vertAlign val="subscript"/>
        <sz val="10"/>
        <color theme="0"/>
        <rFont val="Arial Narrow"/>
        <family val="2"/>
      </rPr>
      <t>E</t>
    </r>
    <r>
      <rPr>
        <b/>
        <sz val="10"/>
        <color theme="0"/>
        <rFont val="Arial Narrow"/>
        <family val="2"/>
      </rPr>
      <t>) - em %aa</t>
    </r>
  </si>
  <si>
    <t>(1) https://www.treasury.gov/resource-center/data-chart-center/interest-rates/Pages/TextView.aspx?data=yieldYear&amp;year=2018. Taxa em 26/11/2018</t>
  </si>
  <si>
    <r>
      <t xml:space="preserve">Taxa Livre de Risco </t>
    </r>
    <r>
      <rPr>
        <vertAlign val="superscript"/>
        <sz val="10"/>
        <color theme="1"/>
        <rFont val="Arial Narrow"/>
        <family val="2"/>
      </rPr>
      <t>(1)</t>
    </r>
  </si>
  <si>
    <t>(2) http://www.portalbrasil.net/2018/indices/dolar_riscopais_novembro.htm - Risco país em 26/11/2018</t>
  </si>
  <si>
    <r>
      <t xml:space="preserve">Prêmio de Risco de Mercado </t>
    </r>
    <r>
      <rPr>
        <vertAlign val="superscript"/>
        <sz val="10"/>
        <color theme="1"/>
        <rFont val="Arial Narrow"/>
        <family val="2"/>
      </rPr>
      <t>(3)</t>
    </r>
  </si>
  <si>
    <t>(3) 2014 Ibbotson SBBI Market Report</t>
  </si>
  <si>
    <r>
      <t xml:space="preserve">Prêmio de Risco pelo Tamanho </t>
    </r>
    <r>
      <rPr>
        <vertAlign val="superscript"/>
        <sz val="10"/>
        <color theme="1"/>
        <rFont val="Arial Narrow"/>
        <family val="2"/>
      </rPr>
      <t>(4)</t>
    </r>
  </si>
  <si>
    <t>(4) 2011 Ibbotson Risk Premia Over Time Report: Estimates for 1926-2010. Morningstar, 2011. Considerando prêmio de risco para o segmento 10z, com ROB entre USD1.222mm e USD85.670mm</t>
  </si>
  <si>
    <r>
      <t xml:space="preserve">Beta Desalavancado </t>
    </r>
    <r>
      <rPr>
        <vertAlign val="superscript"/>
        <sz val="10"/>
        <color theme="1"/>
        <rFont val="Arial Narrow"/>
        <family val="2"/>
      </rPr>
      <t>(5)</t>
    </r>
  </si>
  <si>
    <t>(5) http://pages.stern.nyu.edu/~adamodar/ - Total beta by sector</t>
  </si>
  <si>
    <t>Alíquota Efetiva de Tributos sobre a Renda</t>
  </si>
  <si>
    <t>(6) https://www.itau.com.br/itaubba-pt/analises-economicas/projecoes/longo-prazo-novembro-2018</t>
  </si>
  <si>
    <t>(7) https://www.itau.com.br/itaubba-pt/analises-economicas/projecoes/longo-prazo-novembro-2018 - Projeção para 2019</t>
  </si>
  <si>
    <t>Beta Alavancado</t>
  </si>
  <si>
    <t>(8) Estimativa própria</t>
  </si>
  <si>
    <r>
      <t>K</t>
    </r>
    <r>
      <rPr>
        <b/>
        <vertAlign val="subscript"/>
        <sz val="10"/>
        <color theme="1"/>
        <rFont val="Arial Narrow"/>
        <family val="2"/>
      </rPr>
      <t>E</t>
    </r>
    <r>
      <rPr>
        <b/>
        <sz val="10"/>
        <color theme="1"/>
        <rFont val="Arial Narrow"/>
        <family val="2"/>
      </rPr>
      <t>, USD nominais</t>
    </r>
  </si>
  <si>
    <t>(9) Alíquota marginal para empresas submetidas ao regime de lucro real</t>
  </si>
  <si>
    <r>
      <t xml:space="preserve">Prêmio de Risco País </t>
    </r>
    <r>
      <rPr>
        <vertAlign val="superscript"/>
        <sz val="10"/>
        <color theme="1"/>
        <rFont val="Arial Narrow"/>
        <family val="2"/>
      </rPr>
      <t>(2)</t>
    </r>
  </si>
  <si>
    <r>
      <t>K</t>
    </r>
    <r>
      <rPr>
        <b/>
        <vertAlign val="subscript"/>
        <sz val="10"/>
        <color theme="1"/>
        <rFont val="Arial Narrow"/>
        <family val="2"/>
      </rPr>
      <t>E</t>
    </r>
    <r>
      <rPr>
        <b/>
        <sz val="10"/>
        <color theme="1"/>
        <rFont val="Arial Narrow"/>
        <family val="2"/>
      </rPr>
      <t>, USD nominais ajustado Brasil</t>
    </r>
  </si>
  <si>
    <r>
      <t xml:space="preserve">Inflação EUA (CPI) </t>
    </r>
    <r>
      <rPr>
        <vertAlign val="superscript"/>
        <sz val="10"/>
        <color theme="1"/>
        <rFont val="Arial Narrow"/>
        <family val="2"/>
      </rPr>
      <t>(6)</t>
    </r>
  </si>
  <si>
    <r>
      <t xml:space="preserve">Inflação Brasil (IPC-A) </t>
    </r>
    <r>
      <rPr>
        <vertAlign val="superscript"/>
        <sz val="10"/>
        <color theme="1"/>
        <rFont val="Arial Narrow"/>
        <family val="2"/>
      </rPr>
      <t>(7)</t>
    </r>
  </si>
  <si>
    <r>
      <t>K</t>
    </r>
    <r>
      <rPr>
        <b/>
        <vertAlign val="subscript"/>
        <sz val="10"/>
        <color theme="1"/>
        <rFont val="Arial Narrow"/>
        <family val="2"/>
      </rPr>
      <t>E</t>
    </r>
    <r>
      <rPr>
        <b/>
        <sz val="10"/>
        <color theme="1"/>
        <rFont val="Arial Narrow"/>
        <family val="2"/>
      </rPr>
      <t>, R$ nominais</t>
    </r>
  </si>
  <si>
    <r>
      <t>Custo da Dívida (K</t>
    </r>
    <r>
      <rPr>
        <b/>
        <vertAlign val="subscript"/>
        <sz val="10"/>
        <color theme="0"/>
        <rFont val="Arial Narrow"/>
        <family val="2"/>
      </rPr>
      <t>D</t>
    </r>
    <r>
      <rPr>
        <b/>
        <sz val="10"/>
        <color theme="0"/>
        <rFont val="Arial Narrow"/>
        <family val="2"/>
      </rPr>
      <t>) - em %aa</t>
    </r>
  </si>
  <si>
    <r>
      <t>K</t>
    </r>
    <r>
      <rPr>
        <vertAlign val="subscript"/>
        <sz val="10"/>
        <color theme="1"/>
        <rFont val="Arial Narrow"/>
        <family val="2"/>
      </rPr>
      <t>D</t>
    </r>
    <r>
      <rPr>
        <sz val="10"/>
        <color theme="1"/>
        <rFont val="Arial Narrow"/>
        <family val="2"/>
      </rPr>
      <t xml:space="preserve"> R$ </t>
    </r>
    <r>
      <rPr>
        <vertAlign val="superscript"/>
        <sz val="10"/>
        <color theme="1"/>
        <rFont val="Arial Narrow"/>
        <family val="2"/>
      </rPr>
      <t>(8)</t>
    </r>
  </si>
  <si>
    <r>
      <t xml:space="preserve">Alíquota Efetiva de IR </t>
    </r>
    <r>
      <rPr>
        <vertAlign val="superscript"/>
        <sz val="10"/>
        <color theme="1"/>
        <rFont val="Arial Narrow"/>
        <family val="2"/>
      </rPr>
      <t>(9)</t>
    </r>
  </si>
  <si>
    <r>
      <t>K</t>
    </r>
    <r>
      <rPr>
        <b/>
        <vertAlign val="subscript"/>
        <sz val="10"/>
        <color theme="1"/>
        <rFont val="Arial Narrow"/>
        <family val="2"/>
      </rPr>
      <t>D</t>
    </r>
    <r>
      <rPr>
        <b/>
        <sz val="10"/>
        <color theme="1"/>
        <rFont val="Arial Narrow"/>
        <family val="2"/>
      </rPr>
      <t>, R$ nominais</t>
    </r>
  </si>
  <si>
    <t>Custo Médio Ponderado de Capital (WACC) - em %aa</t>
  </si>
  <si>
    <t xml:space="preserve">Participação de Dívida - D/(D+E) </t>
  </si>
  <si>
    <t>Participação de Equity - E/(D+E)</t>
  </si>
  <si>
    <t>WACC, R$ nominais ajustado Brasil</t>
  </si>
  <si>
    <t>Receita de produtos</t>
  </si>
  <si>
    <t>Receita de serviços</t>
  </si>
  <si>
    <t>Valor Investimento</t>
  </si>
  <si>
    <t>Central de Triagem / ETE</t>
  </si>
  <si>
    <t>Central de Processamento de RCC</t>
  </si>
  <si>
    <t>BobCat</t>
  </si>
  <si>
    <t>4.6</t>
  </si>
  <si>
    <t>Sistema de Rádio Comunicação</t>
  </si>
  <si>
    <t>5.6</t>
  </si>
  <si>
    <t>Sistema de Monitoramento On line (CFTV)</t>
  </si>
  <si>
    <t>TAXA DE LEIS SOCIAIS E RISCOS DO TRABALHO (%)</t>
  </si>
  <si>
    <t>HORISTAS</t>
  </si>
  <si>
    <t>A1</t>
  </si>
  <si>
    <t>Previdência Social</t>
  </si>
  <si>
    <t>A2</t>
  </si>
  <si>
    <t>Fundo de Garantia por Tempo de Serviço</t>
  </si>
  <si>
    <t>A3</t>
  </si>
  <si>
    <t>Salário Educação</t>
  </si>
  <si>
    <t>A4</t>
  </si>
  <si>
    <t>Serviço Social da Indústria (Sesi)</t>
  </si>
  <si>
    <t>A5</t>
  </si>
  <si>
    <t>Serviço Nacional de Aprendizagem Industrial (Senai)</t>
  </si>
  <si>
    <t>A6</t>
  </si>
  <si>
    <t>Serviço de Apoio a Pequena e Média Empresa (Sebrae)</t>
  </si>
  <si>
    <t>A7</t>
  </si>
  <si>
    <t>Instituto Nacional de Colonização e Reforma Agrária (Incra)</t>
  </si>
  <si>
    <t>A8</t>
  </si>
  <si>
    <t>Seguro Contra os Acidentes de Trabalho (INSS)</t>
  </si>
  <si>
    <t>A9</t>
  </si>
  <si>
    <t xml:space="preserve">Seconci - Serviço Social da Construção Civil do Estado de São Paulo (aplicável a todas as empresas conatantes do III grupo da CLT - art.577) </t>
  </si>
  <si>
    <t>A</t>
  </si>
  <si>
    <t>Total dos Encargos Sociais Básicos</t>
  </si>
  <si>
    <t>B1</t>
  </si>
  <si>
    <t>Repouso Semanal e Feriados</t>
  </si>
  <si>
    <t>B2</t>
  </si>
  <si>
    <t>Auxílio-Enfermidade (*)</t>
  </si>
  <si>
    <t>B3</t>
  </si>
  <si>
    <t>Licença Paternidade (*)</t>
  </si>
  <si>
    <t>B4</t>
  </si>
  <si>
    <t>13º Salário</t>
  </si>
  <si>
    <t>B5</t>
  </si>
  <si>
    <t>FGTS sobre 13º</t>
  </si>
  <si>
    <t>B</t>
  </si>
  <si>
    <t>Total dos Encargos Sociais que Recebem a Incidência de A</t>
  </si>
  <si>
    <t>C1</t>
  </si>
  <si>
    <t>Depósito por Despedida Injusta 50% sobre [A2 + (A2 x B)]</t>
  </si>
  <si>
    <t>C2</t>
  </si>
  <si>
    <t>Férias (Indenizadas)</t>
  </si>
  <si>
    <t>C3</t>
  </si>
  <si>
    <t>Aviso Prévio (Indenizado) (***) (*)</t>
  </si>
  <si>
    <t>C</t>
  </si>
  <si>
    <t>Total dos Encargos Sociais que Não Recebem as Incidências Globais de A</t>
  </si>
  <si>
    <t>D1</t>
  </si>
  <si>
    <t>Reincidência de A sobre B</t>
  </si>
  <si>
    <t>D2</t>
  </si>
  <si>
    <t>Reincidência de (A-A9) sobre C3</t>
  </si>
  <si>
    <t>D</t>
  </si>
  <si>
    <t>Total das taxas de Reincidências</t>
  </si>
  <si>
    <t>Total de Encargos Sociais</t>
  </si>
  <si>
    <t>ENCARGOS SOCIAIS - PESSOAL DE VENDAS</t>
  </si>
  <si>
    <t>Dias de Chuva/faltas justificadas na obra/outras dificuldades/acidentes de trabalho/greves/falta ou atraso na entrega de materiais ou serviços (*)</t>
  </si>
  <si>
    <t>Depósito por Despedida Injusta 45% sobre [A2 + (A2 x B)]</t>
  </si>
  <si>
    <t>2.7</t>
  </si>
  <si>
    <t>2.8</t>
  </si>
  <si>
    <t xml:space="preserve">PESSOAL </t>
  </si>
  <si>
    <t>BENEFÍCIOS + Encargos trabalhistas</t>
  </si>
  <si>
    <t>Refeição/func/dia</t>
  </si>
  <si>
    <t>Transporte/func/dia abater 6%</t>
  </si>
  <si>
    <t>Fardamento / EPI</t>
  </si>
  <si>
    <t>Adicional noturno</t>
  </si>
  <si>
    <t>Encargos Trabalhistas</t>
  </si>
  <si>
    <t>Insalubridade</t>
  </si>
  <si>
    <t>Dias trabalhados no mês</t>
  </si>
  <si>
    <t>Operação</t>
  </si>
  <si>
    <t>Quant.</t>
  </si>
  <si>
    <t>Encargos</t>
  </si>
  <si>
    <t>Custo Mensal</t>
  </si>
  <si>
    <t>Custo Anual</t>
  </si>
  <si>
    <t>observações</t>
  </si>
  <si>
    <t>Engº Ambiental</t>
  </si>
  <si>
    <t>Encarregado Operação e máquinas</t>
  </si>
  <si>
    <t xml:space="preserve">Recepção e Expedição de Produtos (balança + portaria) </t>
  </si>
  <si>
    <t>Auxiliar de Serviços Gerais</t>
  </si>
  <si>
    <t>Operadores e Ajudantes</t>
  </si>
  <si>
    <t>Eletromecânico</t>
  </si>
  <si>
    <t>Operador de Máquinas</t>
  </si>
  <si>
    <t>Mecânico</t>
  </si>
  <si>
    <t>Auxiliar de mecânico</t>
  </si>
  <si>
    <t>Técnico de Controle Operacional</t>
  </si>
  <si>
    <t>Almoxarife/ferramenteiro</t>
  </si>
  <si>
    <t>Subtotal</t>
  </si>
  <si>
    <t>Comercial</t>
  </si>
  <si>
    <t xml:space="preserve"> ADMINISTRAÇÃO </t>
  </si>
  <si>
    <t xml:space="preserve"> Quant. </t>
  </si>
  <si>
    <t xml:space="preserve"> Remuneração </t>
  </si>
  <si>
    <t xml:space="preserve"> Encargos </t>
  </si>
  <si>
    <t xml:space="preserve"> Custo Mensal </t>
  </si>
  <si>
    <t xml:space="preserve"> Custo Anual </t>
  </si>
  <si>
    <t>Gerente Geral</t>
  </si>
  <si>
    <t>Contas a Pagar e a Receber</t>
  </si>
  <si>
    <t>Controles</t>
  </si>
  <si>
    <t>Vigilância</t>
  </si>
  <si>
    <t>Motorista</t>
  </si>
  <si>
    <t xml:space="preserve"> Total </t>
  </si>
  <si>
    <t>vigência</t>
  </si>
  <si>
    <t>valor</t>
  </si>
  <si>
    <t>ano</t>
  </si>
  <si>
    <t>QUADRO DE PESSOAL E SUA LOCAÇÃO</t>
  </si>
  <si>
    <t>Horas/dia</t>
  </si>
  <si>
    <t>Acesso e Segurança</t>
  </si>
  <si>
    <t>Portaria</t>
  </si>
  <si>
    <t>Balança</t>
  </si>
  <si>
    <t>Administrativo</t>
  </si>
  <si>
    <t>Contas a Pagar</t>
  </si>
  <si>
    <t>Contas a Receber</t>
  </si>
  <si>
    <t>Contratos e Controles</t>
  </si>
  <si>
    <t>Auxiliar Serviços Gerais</t>
  </si>
  <si>
    <t>Aumoxarife/ferramenteiro</t>
  </si>
  <si>
    <t>Operação de Materiais na Central de Triagem- Por turno</t>
  </si>
  <si>
    <t>Encarregado da Operação</t>
  </si>
  <si>
    <t>Pré Triagem - Por turno</t>
  </si>
  <si>
    <t>Operadores</t>
  </si>
  <si>
    <t>Saída de Rejeitos - Por turno</t>
  </si>
  <si>
    <t>Saída de Recicláveis - Por turno</t>
  </si>
  <si>
    <t>Operadores - Seleção</t>
  </si>
  <si>
    <t>Operadores - Transporte Material Selecionado</t>
  </si>
  <si>
    <t>Operador - Prensa</t>
  </si>
  <si>
    <t>Auxiliar de Limpeza</t>
  </si>
  <si>
    <t>Operação de Máquinas - central de Triagem</t>
  </si>
  <si>
    <t>Encarregado de Máquinas</t>
  </si>
  <si>
    <t>Pá Carregadeira (1)</t>
  </si>
  <si>
    <t>Bob Cat (2)</t>
  </si>
  <si>
    <t>Empilhadeira (1)</t>
  </si>
  <si>
    <t>Caminhão Basculante (1)</t>
  </si>
  <si>
    <t>Auxiliar de Mecânico</t>
  </si>
  <si>
    <t>Operação Compostagem</t>
  </si>
  <si>
    <t>Ajudantes operacionais - Processamento</t>
  </si>
  <si>
    <t>Operação de Aterro - Rejeitos</t>
  </si>
  <si>
    <t>Trator Esteira (1)</t>
  </si>
  <si>
    <t>Retroescavadeira (1)</t>
  </si>
  <si>
    <t>Controle Ambiental</t>
  </si>
  <si>
    <t>Técnico de controle resultados</t>
  </si>
  <si>
    <t>Operação de RCC</t>
  </si>
  <si>
    <t>Motorista Caminhão / Operador da Central</t>
  </si>
  <si>
    <t>Aumento dos salários</t>
  </si>
  <si>
    <t>SEGURANÇA/Monitoramento</t>
  </si>
  <si>
    <t xml:space="preserve">Man. operacional da USINA </t>
  </si>
  <si>
    <t>Geração de RCC</t>
  </si>
  <si>
    <t>RCC</t>
  </si>
  <si>
    <t>ton/ano</t>
  </si>
  <si>
    <t>-</t>
  </si>
  <si>
    <t>RECEITA Tarifa RCC</t>
  </si>
  <si>
    <t>RECEITA Tarifa RSU/TONELADA</t>
  </si>
  <si>
    <t>Utilidades</t>
  </si>
  <si>
    <t>Prensa (material reciclado)</t>
  </si>
  <si>
    <t>Operadores - RCC</t>
  </si>
  <si>
    <t>Trator de pneu</t>
  </si>
  <si>
    <t>Triturador Florestal (150 mm) Lippel PDX 150 HD</t>
  </si>
  <si>
    <t xml:space="preserve">Sistema de Revolvimento (Compostador) CRO 4.0 </t>
  </si>
  <si>
    <t>Sistema de Irrigação por aspersão com bombeamento</t>
  </si>
  <si>
    <t>Empacotadeira de embalagem plástica</t>
  </si>
  <si>
    <t>Galpão coberto estrutura metálica com piso concreto usinado</t>
  </si>
  <si>
    <t>Reservatórios coleta de água de chuva (caixa d’água 20 m³)</t>
  </si>
  <si>
    <t>Piso em solo cimento 100 mm</t>
  </si>
  <si>
    <t>Sistema de coleta e armazenamento de líquidos percolados</t>
  </si>
  <si>
    <t>2.9</t>
  </si>
  <si>
    <t>2.10</t>
  </si>
  <si>
    <t>2.11</t>
  </si>
  <si>
    <t>2.12</t>
  </si>
  <si>
    <t>2.13</t>
  </si>
  <si>
    <t>2.14</t>
  </si>
  <si>
    <t>2.16</t>
  </si>
  <si>
    <t>2.17</t>
  </si>
  <si>
    <t>2.18</t>
  </si>
  <si>
    <t>2.19</t>
  </si>
  <si>
    <t>2.20</t>
  </si>
  <si>
    <t>2.21</t>
  </si>
  <si>
    <t>Central de Triagem</t>
  </si>
  <si>
    <t>3.1.1</t>
  </si>
  <si>
    <t>3.1.2</t>
  </si>
  <si>
    <t>3.1.3</t>
  </si>
  <si>
    <t>3.1.4</t>
  </si>
  <si>
    <t>3.1.5</t>
  </si>
  <si>
    <t>Central de Compostagem</t>
  </si>
  <si>
    <t>3.2.1</t>
  </si>
  <si>
    <t>3.2.2</t>
  </si>
  <si>
    <t>3.2.3</t>
  </si>
  <si>
    <t>3.2.4</t>
  </si>
  <si>
    <t>3.2.5</t>
  </si>
  <si>
    <t>3.2.6</t>
  </si>
  <si>
    <t>3.2.7</t>
  </si>
  <si>
    <t>3.1.6</t>
  </si>
  <si>
    <t>3.3.1</t>
  </si>
  <si>
    <t>3.3.2</t>
  </si>
  <si>
    <t>3.3.3</t>
  </si>
  <si>
    <t>3.3.4</t>
  </si>
  <si>
    <t>3.3.5</t>
  </si>
  <si>
    <t>Central de Processamento de RCC e Aterro</t>
  </si>
  <si>
    <t>Caminhão Caçamba Roll on/rool of</t>
  </si>
  <si>
    <t>Caminhão Caçamba</t>
  </si>
  <si>
    <t>Compressor</t>
  </si>
  <si>
    <t>Jato Lavador</t>
  </si>
  <si>
    <t>Reservatórios Combustível (1000l)</t>
  </si>
  <si>
    <t>Veículos - Utilitário</t>
  </si>
  <si>
    <t>Veículos - Van</t>
  </si>
  <si>
    <t>3.2.8</t>
  </si>
  <si>
    <t>3.1.7</t>
  </si>
  <si>
    <t>3.1.8</t>
  </si>
  <si>
    <t>3.1.9</t>
  </si>
  <si>
    <t>3.1.10</t>
  </si>
  <si>
    <t>3.1.11</t>
  </si>
  <si>
    <t>3.3.6</t>
  </si>
  <si>
    <t>Operador máquinas</t>
  </si>
  <si>
    <t>Custos Laboratoriais (Compostagem)</t>
  </si>
  <si>
    <t>Manutenção equipamentos (Compostagem)</t>
  </si>
  <si>
    <t>Despesas Operacionais (compostagem)</t>
  </si>
  <si>
    <t>Despesas Operacionais (RCD)</t>
  </si>
  <si>
    <t>Manutenção equipamentos (RCD)</t>
  </si>
  <si>
    <t>SEGURO Máquinas e Equipamentos</t>
  </si>
  <si>
    <t>SEGURO Pessoal (Acidentes e Vida)</t>
  </si>
  <si>
    <t>SEGURO Garantia</t>
  </si>
  <si>
    <t>Reinvestimentos</t>
  </si>
  <si>
    <t>Tributos Regulação e Fiscalização</t>
  </si>
  <si>
    <t>Alavancagem-Alvo (D/E)</t>
  </si>
  <si>
    <t>Geração de Materiais Recicláveis (Centro Sul)</t>
  </si>
  <si>
    <t>Geração de Materiais Recicláveis (Sul)</t>
  </si>
  <si>
    <t>Geração de Materiais Orgânico (Centro Sul)</t>
  </si>
  <si>
    <t>Geração de Materiais Orgânico (Sul)</t>
  </si>
  <si>
    <t>Geração de Materiais Recicláveis (Total)</t>
  </si>
  <si>
    <t>100% da capacidade do equipamento</t>
  </si>
  <si>
    <t>Implantação de Novas Células</t>
  </si>
  <si>
    <t>há</t>
  </si>
  <si>
    <t>Ano 1 = 2023</t>
  </si>
  <si>
    <t>01.01.2022</t>
  </si>
  <si>
    <t>Valor do Salário míminio - base 2022</t>
  </si>
  <si>
    <t>Inflação Média últimos 10 anos (2011-2021) (IPCA)</t>
  </si>
  <si>
    <t>IBGE, 2021</t>
  </si>
  <si>
    <t>INDICE INCC</t>
  </si>
  <si>
    <t xml:space="preserve">INDICE IPCA </t>
  </si>
  <si>
    <t>total</t>
  </si>
  <si>
    <t>Salário mínimo 2022</t>
  </si>
  <si>
    <r>
      <rPr>
        <i/>
        <sz val="8"/>
        <rFont val="Arial"/>
        <family val="2"/>
      </rPr>
      <t>Layout</t>
    </r>
    <r>
      <rPr>
        <sz val="8"/>
        <rFont val="Arial"/>
        <family val="2"/>
      </rPr>
      <t xml:space="preserve"> da Unidade</t>
    </r>
  </si>
  <si>
    <r>
      <t>Moega e Peneira rotativa (Tromel malha 10 mm) Móvel/</t>
    </r>
    <r>
      <rPr>
        <i/>
        <sz val="8"/>
        <rFont val="Arial"/>
        <family val="2"/>
      </rPr>
      <t>Roll-on Roll-off</t>
    </r>
  </si>
  <si>
    <r>
      <t xml:space="preserve">Veículos - </t>
    </r>
    <r>
      <rPr>
        <i/>
        <sz val="8"/>
        <rFont val="Arial"/>
        <family val="2"/>
      </rPr>
      <t>Pickup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</si>
</sst>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(* #,##0_);_(* \(#,##0\);_(* &quot;-&quot;_);_(@_)"/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&quot;R$&quot;\ #,##0.00;\-&quot;R$&quot;\ #,##0.00"/>
    <numFmt numFmtId="165" formatCode="&quot;R$&quot;\ #,##0.00;[Red]\-&quot;R$&quot;\ #,##0.00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_-* #,##0_-;\-* #,##0_-;_-* &quot;-&quot;??_-;_-@_-"/>
    <numFmt numFmtId="169" formatCode="_(* #,##0_);_(* \(#,##0\);_(* &quot;-&quot;??_);_(@_)"/>
    <numFmt numFmtId="170" formatCode="_([$€-2]* #,##0.00_);_([$€-2]* \(#,##0.00\);_([$€-2]* &quot;-&quot;??_)"/>
    <numFmt numFmtId="171" formatCode="&quot;$&quot;#,##0_);\(&quot;$&quot;#,##0\)"/>
    <numFmt numFmtId="172" formatCode="&quot;R$&quot;\ #,##0.00"/>
    <numFmt numFmtId="173" formatCode="0.0%"/>
    <numFmt numFmtId="174" formatCode="#,##0.0_);\(#,##0.0\)"/>
    <numFmt numFmtId="175" formatCode="&quot;R$&quot;\ * #,##0.00&quot;/ton&quot;"/>
    <numFmt numFmtId="176" formatCode="&quot;Ano&quot;\ 0"/>
    <numFmt numFmtId="177" formatCode="_-&quot;R$&quot;\ * #,##0_-;\-&quot;R$&quot;\ * #,##0_-;_-&quot;R$&quot;\ * &quot;-&quot;??_-;_-@_-"/>
    <numFmt numFmtId="178" formatCode="_(&quot;R$ &quot;* #,##0_);_(&quot;R$ &quot;* \(#,##0\);_(&quot;R$ &quot;* &quot;-&quot;_);_(@_)"/>
    <numFmt numFmtId="179" formatCode="#,##0.000"/>
    <numFmt numFmtId="180" formatCode="_-[$$-409]* #,##0.00_ ;_-[$$-409]* \-#,##0.00\ ;_-[$$-409]* &quot;-&quot;??_ ;_-@_ "/>
    <numFmt numFmtId="181" formatCode="0.0"/>
    <numFmt numFmtId="182" formatCode="_-[$R$-416]\ * #,##0.00_-;\-[$R$-416]\ * #,##0.00_-;_-[$R$-416]\ * &quot;-&quot;??_-;_-@_-"/>
    <numFmt numFmtId="183" formatCode="0.00&quot; meses&quot;"/>
    <numFmt numFmtId="184" formatCode="0.00%&quot;aa&quot;"/>
    <numFmt numFmtId="185" formatCode="0.000"/>
    <numFmt numFmtId="186" formatCode="&quot;R$ &quot;#,##0.00"/>
    <numFmt numFmtId="187" formatCode="&quot;R$&quot;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0"/>
      <name val="Courier"/>
      <family val="3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2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8" tint="0.7999816888943144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D0D0D"/>
      <name val="Century Gothic"/>
      <family val="2"/>
    </font>
    <font>
      <b/>
      <sz val="8"/>
      <color rgb="FF0D0D0D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D0D0D"/>
      <name val="Century Gothic"/>
      <family val="2"/>
    </font>
    <font>
      <b/>
      <sz val="11"/>
      <name val="Century Gothic"/>
      <family val="2"/>
    </font>
    <font>
      <b/>
      <sz val="26"/>
      <color theme="1"/>
      <name val="Arial"/>
      <family val="2"/>
    </font>
    <font>
      <b/>
      <sz val="11"/>
      <color theme="1"/>
      <name val="Arial"/>
      <family val="2"/>
    </font>
    <font>
      <sz val="11"/>
      <color theme="3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 Narrow"/>
      <family val="2"/>
    </font>
    <font>
      <b/>
      <u val="singleAccounting"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bscript"/>
      <sz val="10"/>
      <color theme="0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bscript"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EBEBEB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4" fillId="0" borderId="0" applyFont="0" applyFill="0" applyBorder="0" applyAlignment="0" applyProtection="0"/>
    <xf numFmtId="0" fontId="11" fillId="0" borderId="0"/>
    <xf numFmtId="0" fontId="12" fillId="0" borderId="0"/>
    <xf numFmtId="171" fontId="4" fillId="0" borderId="0" applyFont="0" applyFill="0" applyBorder="0" applyAlignment="0" applyProtection="0"/>
    <xf numFmtId="37" fontId="4" fillId="3" borderId="0" applyFont="0" applyFill="0" applyBorder="0" applyAlignment="0" applyProtection="0"/>
    <xf numFmtId="41" fontId="4" fillId="0" borderId="1" applyFont="0" applyFill="0" applyBorder="0" applyAlignment="0" applyProtection="0">
      <alignment horizontal="center" vertical="center"/>
    </xf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19">
    <xf numFmtId="0" fontId="0" fillId="0" borderId="0" xfId="0"/>
    <xf numFmtId="10" fontId="5" fillId="0" borderId="12" xfId="2" applyNumberFormat="1" applyFont="1" applyBorder="1"/>
    <xf numFmtId="0" fontId="7" fillId="0" borderId="1" xfId="34" applyFont="1" applyBorder="1" applyAlignment="1">
      <alignment horizontal="center"/>
    </xf>
    <xf numFmtId="0" fontId="5" fillId="0" borderId="1" xfId="34" applyFont="1" applyBorder="1" applyAlignment="1">
      <alignment horizontal="center"/>
    </xf>
    <xf numFmtId="2" fontId="4" fillId="0" borderId="1" xfId="34" applyNumberFormat="1" applyBorder="1"/>
    <xf numFmtId="0" fontId="0" fillId="0" borderId="0" xfId="0" applyAlignment="1">
      <alignment horizontal="center"/>
    </xf>
    <xf numFmtId="0" fontId="5" fillId="3" borderId="0" xfId="32" applyFont="1" applyFill="1" applyAlignment="1">
      <alignment vertical="center"/>
    </xf>
    <xf numFmtId="0" fontId="4" fillId="3" borderId="0" xfId="32" applyFill="1" applyAlignment="1">
      <alignment vertical="center"/>
    </xf>
    <xf numFmtId="0" fontId="5" fillId="3" borderId="0" xfId="32" applyFont="1" applyFill="1" applyAlignment="1">
      <alignment horizontal="center" vertical="center"/>
    </xf>
    <xf numFmtId="10" fontId="5" fillId="0" borderId="18" xfId="2" applyNumberFormat="1" applyFont="1" applyBorder="1"/>
    <xf numFmtId="0" fontId="0" fillId="0" borderId="1" xfId="0" applyBorder="1"/>
    <xf numFmtId="175" fontId="5" fillId="4" borderId="1" xfId="34" applyNumberFormat="1" applyFont="1" applyFill="1" applyBorder="1"/>
    <xf numFmtId="173" fontId="5" fillId="0" borderId="1" xfId="2" applyNumberFormat="1" applyFont="1" applyBorder="1"/>
    <xf numFmtId="164" fontId="5" fillId="0" borderId="1" xfId="34" applyNumberFormat="1" applyFont="1" applyBorder="1"/>
    <xf numFmtId="164" fontId="5" fillId="0" borderId="1" xfId="34" applyNumberFormat="1" applyFont="1" applyBorder="1" applyAlignment="1">
      <alignment horizontal="center"/>
    </xf>
    <xf numFmtId="173" fontId="5" fillId="0" borderId="1" xfId="34" applyNumberFormat="1" applyFont="1" applyBorder="1"/>
    <xf numFmtId="9" fontId="4" fillId="0" borderId="1" xfId="34" applyNumberFormat="1" applyBorder="1"/>
    <xf numFmtId="174" fontId="4" fillId="0" borderId="1" xfId="34" applyNumberFormat="1" applyBorder="1"/>
    <xf numFmtId="0" fontId="4" fillId="0" borderId="9" xfId="34" applyBorder="1" applyAlignment="1">
      <alignment horizontal="center"/>
    </xf>
    <xf numFmtId="0" fontId="4" fillId="0" borderId="1" xfId="34" applyBorder="1"/>
    <xf numFmtId="0" fontId="4" fillId="0" borderId="13" xfId="34" applyBorder="1" applyAlignment="1">
      <alignment horizontal="center"/>
    </xf>
    <xf numFmtId="0" fontId="4" fillId="0" borderId="14" xfId="34" applyBorder="1"/>
    <xf numFmtId="0" fontId="4" fillId="0" borderId="14" xfId="34" applyBorder="1" applyAlignment="1">
      <alignment horizontal="center"/>
    </xf>
    <xf numFmtId="0" fontId="5" fillId="0" borderId="1" xfId="34" applyFont="1" applyBorder="1"/>
    <xf numFmtId="174" fontId="5" fillId="2" borderId="1" xfId="34" applyNumberFormat="1" applyFont="1" applyFill="1" applyBorder="1"/>
    <xf numFmtId="0" fontId="4" fillId="0" borderId="10" xfId="34" applyBorder="1" applyAlignment="1">
      <alignment horizontal="center"/>
    </xf>
    <xf numFmtId="0" fontId="5" fillId="0" borderId="11" xfId="34" applyFont="1" applyBorder="1"/>
    <xf numFmtId="174" fontId="5" fillId="0" borderId="1" xfId="34" applyNumberFormat="1" applyFont="1" applyBorder="1"/>
    <xf numFmtId="10" fontId="4" fillId="0" borderId="12" xfId="2" applyNumberFormat="1" applyFont="1" applyBorder="1"/>
    <xf numFmtId="0" fontId="4" fillId="0" borderId="19" xfId="34" applyBorder="1" applyAlignment="1">
      <alignment horizontal="center"/>
    </xf>
    <xf numFmtId="0" fontId="4" fillId="0" borderId="11" xfId="34" applyBorder="1" applyAlignment="1">
      <alignment horizontal="center"/>
    </xf>
    <xf numFmtId="0" fontId="4" fillId="0" borderId="20" xfId="34" applyBorder="1" applyAlignment="1">
      <alignment horizontal="center"/>
    </xf>
    <xf numFmtId="0" fontId="4" fillId="0" borderId="8" xfId="34" applyBorder="1" applyAlignment="1">
      <alignment horizontal="center"/>
    </xf>
    <xf numFmtId="0" fontId="4" fillId="0" borderId="2" xfId="34" applyBorder="1"/>
    <xf numFmtId="0" fontId="4" fillId="0" borderId="17" xfId="34" applyBorder="1" applyAlignment="1">
      <alignment horizontal="center"/>
    </xf>
    <xf numFmtId="0" fontId="4" fillId="0" borderId="18" xfId="34" applyBorder="1" applyAlignment="1">
      <alignment horizontal="center"/>
    </xf>
    <xf numFmtId="0" fontId="15" fillId="3" borderId="1" xfId="20" applyFont="1" applyFill="1" applyBorder="1" applyAlignment="1">
      <alignment horizontal="center" vertical="center"/>
    </xf>
    <xf numFmtId="0" fontId="16" fillId="3" borderId="1" xfId="20" applyFont="1" applyFill="1" applyBorder="1" applyAlignment="1">
      <alignment horizontal="center" vertical="center"/>
    </xf>
    <xf numFmtId="0" fontId="16" fillId="3" borderId="1" xfId="20" applyFont="1" applyFill="1" applyBorder="1" applyAlignment="1">
      <alignment horizontal="justify" vertical="center"/>
    </xf>
    <xf numFmtId="9" fontId="15" fillId="3" borderId="1" xfId="20" applyNumberFormat="1" applyFont="1" applyFill="1" applyBorder="1" applyAlignment="1">
      <alignment horizontal="center" vertical="center"/>
    </xf>
    <xf numFmtId="43" fontId="16" fillId="3" borderId="1" xfId="36" applyFont="1" applyFill="1" applyBorder="1" applyAlignment="1">
      <alignment horizontal="justify" vertical="center"/>
    </xf>
    <xf numFmtId="0" fontId="17" fillId="3" borderId="5" xfId="20" applyFont="1" applyFill="1" applyBorder="1" applyAlignment="1">
      <alignment vertical="center"/>
    </xf>
    <xf numFmtId="0" fontId="5" fillId="3" borderId="6" xfId="20" applyFont="1" applyFill="1" applyBorder="1" applyAlignment="1">
      <alignment vertical="center"/>
    </xf>
    <xf numFmtId="9" fontId="5" fillId="3" borderId="6" xfId="27" applyFont="1" applyFill="1" applyBorder="1" applyAlignment="1">
      <alignment vertical="center"/>
    </xf>
    <xf numFmtId="0" fontId="5" fillId="3" borderId="3" xfId="20" applyFont="1" applyFill="1" applyBorder="1" applyAlignment="1">
      <alignment vertical="center"/>
    </xf>
    <xf numFmtId="0" fontId="15" fillId="3" borderId="6" xfId="20" applyFont="1" applyFill="1" applyBorder="1" applyAlignment="1">
      <alignment vertical="center"/>
    </xf>
    <xf numFmtId="0" fontId="15" fillId="3" borderId="3" xfId="20" applyFont="1" applyFill="1" applyBorder="1" applyAlignment="1">
      <alignment vertical="center"/>
    </xf>
    <xf numFmtId="0" fontId="14" fillId="3" borderId="7" xfId="20" applyFont="1" applyFill="1" applyBorder="1" applyAlignment="1">
      <alignment horizontal="center" vertical="center"/>
    </xf>
    <xf numFmtId="166" fontId="16" fillId="3" borderId="1" xfId="7" applyFont="1" applyFill="1" applyBorder="1" applyAlignment="1">
      <alignment horizontal="justify" vertical="center"/>
    </xf>
    <xf numFmtId="173" fontId="15" fillId="3" borderId="1" xfId="20" applyNumberFormat="1" applyFont="1" applyFill="1" applyBorder="1" applyAlignment="1">
      <alignment horizontal="center" vertical="center"/>
    </xf>
    <xf numFmtId="0" fontId="7" fillId="3" borderId="5" xfId="20" applyFont="1" applyFill="1" applyBorder="1" applyAlignment="1">
      <alignment vertical="center"/>
    </xf>
    <xf numFmtId="168" fontId="17" fillId="3" borderId="1" xfId="1" applyNumberFormat="1" applyFont="1" applyFill="1" applyBorder="1" applyAlignment="1">
      <alignment horizontal="left" vertical="center"/>
    </xf>
    <xf numFmtId="0" fontId="5" fillId="0" borderId="2" xfId="34" applyFont="1" applyBorder="1" applyAlignment="1">
      <alignment horizontal="center"/>
    </xf>
    <xf numFmtId="0" fontId="2" fillId="0" borderId="1" xfId="0" applyFont="1" applyBorder="1"/>
    <xf numFmtId="10" fontId="4" fillId="0" borderId="1" xfId="2" applyNumberFormat="1" applyFont="1" applyBorder="1"/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73" fontId="19" fillId="0" borderId="16" xfId="2" applyNumberFormat="1" applyFont="1" applyBorder="1" applyAlignment="1">
      <alignment horizontal="center" vertical="center" wrapText="1"/>
    </xf>
    <xf numFmtId="173" fontId="19" fillId="0" borderId="24" xfId="2" applyNumberFormat="1" applyFont="1" applyBorder="1" applyAlignment="1">
      <alignment horizontal="center" vertical="center" wrapText="1"/>
    </xf>
    <xf numFmtId="10" fontId="0" fillId="0" borderId="0" xfId="2" applyNumberFormat="1" applyFont="1"/>
    <xf numFmtId="173" fontId="19" fillId="0" borderId="22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39" fontId="4" fillId="0" borderId="1" xfId="34" applyNumberFormat="1" applyBorder="1"/>
    <xf numFmtId="2" fontId="21" fillId="0" borderId="24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 wrapText="1"/>
    </xf>
    <xf numFmtId="173" fontId="0" fillId="0" borderId="22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15" fillId="3" borderId="31" xfId="20" applyFont="1" applyFill="1" applyBorder="1" applyAlignment="1">
      <alignment horizontal="center" vertical="center"/>
    </xf>
    <xf numFmtId="0" fontId="15" fillId="3" borderId="2" xfId="20" applyFont="1" applyFill="1" applyBorder="1" applyAlignment="1">
      <alignment horizontal="left" vertical="center"/>
    </xf>
    <xf numFmtId="0" fontId="16" fillId="3" borderId="32" xfId="20" applyFont="1" applyFill="1" applyBorder="1" applyAlignment="1">
      <alignment horizontal="center" vertical="center"/>
    </xf>
    <xf numFmtId="169" fontId="16" fillId="3" borderId="1" xfId="36" applyNumberFormat="1" applyFont="1" applyFill="1" applyBorder="1" applyAlignment="1">
      <alignment horizontal="justify" vertical="center"/>
    </xf>
    <xf numFmtId="172" fontId="16" fillId="3" borderId="1" xfId="36" applyNumberFormat="1" applyFont="1" applyFill="1" applyBorder="1" applyAlignment="1">
      <alignment horizontal="justify" vertical="center"/>
    </xf>
    <xf numFmtId="0" fontId="15" fillId="3" borderId="32" xfId="20" applyFont="1" applyFill="1" applyBorder="1" applyAlignment="1">
      <alignment horizontal="center" vertical="center"/>
    </xf>
    <xf numFmtId="0" fontId="16" fillId="3" borderId="1" xfId="20" applyFont="1" applyFill="1" applyBorder="1" applyAlignment="1">
      <alignment vertical="center"/>
    </xf>
    <xf numFmtId="43" fontId="16" fillId="3" borderId="1" xfId="36" applyFont="1" applyFill="1" applyBorder="1" applyAlignment="1">
      <alignment vertical="center"/>
    </xf>
    <xf numFmtId="172" fontId="16" fillId="3" borderId="1" xfId="20" applyNumberFormat="1" applyFont="1" applyFill="1" applyBorder="1" applyAlignment="1">
      <alignment vertical="center"/>
    </xf>
    <xf numFmtId="3" fontId="16" fillId="3" borderId="1" xfId="20" applyNumberFormat="1" applyFont="1" applyFill="1" applyBorder="1" applyAlignment="1">
      <alignment vertical="center"/>
    </xf>
    <xf numFmtId="4" fontId="16" fillId="3" borderId="1" xfId="20" applyNumberFormat="1" applyFont="1" applyFill="1" applyBorder="1" applyAlignment="1">
      <alignment vertical="center"/>
    </xf>
    <xf numFmtId="3" fontId="15" fillId="5" borderId="1" xfId="20" applyNumberFormat="1" applyFont="1" applyFill="1" applyBorder="1" applyAlignment="1">
      <alignment vertical="center"/>
    </xf>
    <xf numFmtId="0" fontId="20" fillId="0" borderId="22" xfId="0" applyFont="1" applyBorder="1" applyAlignment="1">
      <alignment horizontal="center" vertical="center" wrapText="1"/>
    </xf>
    <xf numFmtId="10" fontId="23" fillId="0" borderId="1" xfId="2" applyNumberFormat="1" applyFont="1" applyBorder="1"/>
    <xf numFmtId="9" fontId="0" fillId="0" borderId="1" xfId="0" applyNumberFormat="1" applyBorder="1"/>
    <xf numFmtId="0" fontId="16" fillId="3" borderId="2" xfId="20" applyFont="1" applyFill="1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65" fontId="0" fillId="0" borderId="1" xfId="6" applyNumberFormat="1" applyFont="1" applyBorder="1"/>
    <xf numFmtId="177" fontId="0" fillId="0" borderId="0" xfId="3" applyNumberFormat="1" applyFont="1"/>
    <xf numFmtId="0" fontId="0" fillId="6" borderId="0" xfId="0" applyFill="1"/>
    <xf numFmtId="177" fontId="0" fillId="6" borderId="0" xfId="3" applyNumberFormat="1" applyFont="1" applyFill="1"/>
    <xf numFmtId="165" fontId="0" fillId="0" borderId="0" xfId="0" applyNumberFormat="1"/>
    <xf numFmtId="165" fontId="0" fillId="6" borderId="0" xfId="0" applyNumberFormat="1" applyFill="1"/>
    <xf numFmtId="0" fontId="0" fillId="6" borderId="37" xfId="0" applyFill="1" applyBorder="1"/>
    <xf numFmtId="0" fontId="2" fillId="6" borderId="0" xfId="0" applyFont="1" applyFill="1"/>
    <xf numFmtId="165" fontId="2" fillId="6" borderId="0" xfId="0" applyNumberFormat="1" applyFont="1" applyFill="1"/>
    <xf numFmtId="0" fontId="2" fillId="0" borderId="0" xfId="0" applyFont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/>
    <xf numFmtId="177" fontId="2" fillId="0" borderId="0" xfId="3" applyNumberFormat="1" applyFont="1"/>
    <xf numFmtId="177" fontId="2" fillId="0" borderId="0" xfId="0" applyNumberFormat="1" applyFont="1" applyAlignment="1">
      <alignment horizontal="left"/>
    </xf>
    <xf numFmtId="165" fontId="0" fillId="0" borderId="0" xfId="7" applyNumberFormat="1" applyFont="1"/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0" borderId="1" xfId="0" applyFont="1" applyBorder="1" applyAlignment="1">
      <alignment horizontal="left" vertical="center"/>
    </xf>
    <xf numFmtId="166" fontId="27" fillId="0" borderId="1" xfId="3" applyFont="1" applyBorder="1" applyAlignment="1">
      <alignment horizontal="center" vertical="center"/>
    </xf>
    <xf numFmtId="0" fontId="27" fillId="7" borderId="1" xfId="0" applyFont="1" applyFill="1" applyBorder="1"/>
    <xf numFmtId="178" fontId="27" fillId="7" borderId="1" xfId="3" applyNumberFormat="1" applyFont="1" applyFill="1" applyBorder="1"/>
    <xf numFmtId="0" fontId="28" fillId="0" borderId="1" xfId="0" applyFont="1" applyBorder="1"/>
    <xf numFmtId="178" fontId="28" fillId="0" borderId="1" xfId="3" applyNumberFormat="1" applyFont="1" applyBorder="1"/>
    <xf numFmtId="0" fontId="23" fillId="0" borderId="1" xfId="0" applyFont="1" applyBorder="1"/>
    <xf numFmtId="0" fontId="27" fillId="8" borderId="1" xfId="0" applyFont="1" applyFill="1" applyBorder="1"/>
    <xf numFmtId="9" fontId="29" fillId="0" borderId="1" xfId="2" applyFont="1" applyBorder="1" applyAlignment="1">
      <alignment horizontal="center"/>
    </xf>
    <xf numFmtId="0" fontId="28" fillId="0" borderId="0" xfId="0" applyFont="1"/>
    <xf numFmtId="9" fontId="27" fillId="0" borderId="1" xfId="0" applyNumberFormat="1" applyFont="1" applyBorder="1" applyAlignment="1">
      <alignment horizontal="center"/>
    </xf>
    <xf numFmtId="0" fontId="27" fillId="0" borderId="1" xfId="0" applyFont="1" applyBorder="1"/>
    <xf numFmtId="0" fontId="18" fillId="3" borderId="7" xfId="20" applyFont="1" applyFill="1" applyBorder="1" applyAlignment="1">
      <alignment vertical="center"/>
    </xf>
    <xf numFmtId="9" fontId="30" fillId="0" borderId="1" xfId="2" applyFont="1" applyBorder="1" applyAlignment="1">
      <alignment horizontal="center"/>
    </xf>
    <xf numFmtId="178" fontId="28" fillId="8" borderId="1" xfId="3" applyNumberFormat="1" applyFont="1" applyFill="1" applyBorder="1"/>
    <xf numFmtId="3" fontId="4" fillId="0" borderId="0" xfId="20" applyNumberFormat="1" applyAlignment="1">
      <alignment vertical="center"/>
    </xf>
    <xf numFmtId="3" fontId="4" fillId="10" borderId="1" xfId="20" applyNumberFormat="1" applyFill="1" applyBorder="1" applyAlignment="1">
      <alignment vertical="center"/>
    </xf>
    <xf numFmtId="1" fontId="13" fillId="11" borderId="1" xfId="20" applyNumberFormat="1" applyFont="1" applyFill="1" applyBorder="1" applyAlignment="1" applyProtection="1">
      <alignment horizontal="center" vertical="center"/>
      <protection locked="0"/>
    </xf>
    <xf numFmtId="10" fontId="13" fillId="11" borderId="1" xfId="27" applyNumberFormat="1" applyFont="1" applyFill="1" applyBorder="1" applyAlignment="1" applyProtection="1">
      <alignment horizontal="center" vertical="center"/>
      <protection locked="0"/>
    </xf>
    <xf numFmtId="3" fontId="34" fillId="0" borderId="1" xfId="20" applyNumberFormat="1" applyFont="1" applyBorder="1" applyAlignment="1">
      <alignment horizontal="center" vertical="top"/>
    </xf>
    <xf numFmtId="3" fontId="4" fillId="0" borderId="1" xfId="20" applyNumberFormat="1" applyBorder="1" applyAlignment="1">
      <alignment horizontal="center" vertical="center"/>
    </xf>
    <xf numFmtId="1" fontId="5" fillId="0" borderId="1" xfId="20" applyNumberFormat="1" applyFont="1" applyBorder="1" applyAlignment="1">
      <alignment horizontal="center" vertical="center"/>
    </xf>
    <xf numFmtId="3" fontId="35" fillId="12" borderId="1" xfId="20" applyNumberFormat="1" applyFont="1" applyFill="1" applyBorder="1" applyAlignment="1">
      <alignment vertical="center"/>
    </xf>
    <xf numFmtId="3" fontId="5" fillId="13" borderId="1" xfId="20" applyNumberFormat="1" applyFont="1" applyFill="1" applyBorder="1" applyAlignment="1">
      <alignment vertical="center"/>
    </xf>
    <xf numFmtId="178" fontId="36" fillId="14" borderId="1" xfId="3" applyNumberFormat="1" applyFont="1" applyFill="1" applyBorder="1"/>
    <xf numFmtId="3" fontId="5" fillId="0" borderId="0" xfId="20" applyNumberFormat="1" applyFont="1" applyAlignment="1">
      <alignment vertical="center"/>
    </xf>
    <xf numFmtId="3" fontId="37" fillId="15" borderId="0" xfId="20" applyNumberFormat="1" applyFont="1" applyFill="1" applyAlignment="1">
      <alignment horizontal="right" vertical="center"/>
    </xf>
    <xf numFmtId="3" fontId="37" fillId="15" borderId="0" xfId="20" applyNumberFormat="1" applyFont="1" applyFill="1" applyAlignment="1">
      <alignment horizontal="center" vertical="center"/>
    </xf>
    <xf numFmtId="3" fontId="38" fillId="8" borderId="0" xfId="20" applyNumberFormat="1" applyFont="1" applyFill="1" applyAlignment="1">
      <alignment horizontal="center" vertical="center"/>
    </xf>
    <xf numFmtId="0" fontId="38" fillId="8" borderId="0" xfId="20" applyFont="1" applyFill="1" applyAlignment="1">
      <alignment vertical="center"/>
    </xf>
    <xf numFmtId="3" fontId="38" fillId="0" borderId="0" xfId="20" applyNumberFormat="1" applyFont="1" applyAlignment="1">
      <alignment vertical="center"/>
    </xf>
    <xf numFmtId="173" fontId="37" fillId="15" borderId="0" xfId="27" applyNumberFormat="1" applyFont="1" applyFill="1" applyAlignment="1">
      <alignment horizontal="right" vertical="center"/>
    </xf>
    <xf numFmtId="3" fontId="37" fillId="15" borderId="0" xfId="20" applyNumberFormat="1" applyFont="1" applyFill="1" applyAlignment="1">
      <alignment vertical="center"/>
    </xf>
    <xf numFmtId="0" fontId="38" fillId="8" borderId="0" xfId="20" applyFont="1" applyFill="1" applyAlignment="1">
      <alignment horizontal="center" vertical="center"/>
    </xf>
    <xf numFmtId="173" fontId="38" fillId="8" borderId="0" xfId="27" applyNumberFormat="1" applyFont="1" applyFill="1" applyAlignment="1">
      <alignment vertical="center"/>
    </xf>
    <xf numFmtId="1" fontId="38" fillId="8" borderId="0" xfId="35" applyNumberFormat="1" applyFont="1" applyFill="1" applyAlignment="1">
      <alignment vertical="center"/>
    </xf>
    <xf numFmtId="10" fontId="38" fillId="0" borderId="0" xfId="27" applyNumberFormat="1" applyFont="1" applyAlignment="1">
      <alignment vertical="center"/>
    </xf>
    <xf numFmtId="3" fontId="39" fillId="0" borderId="0" xfId="20" applyNumberFormat="1" applyFont="1" applyAlignment="1">
      <alignment vertical="center"/>
    </xf>
    <xf numFmtId="179" fontId="39" fillId="0" borderId="0" xfId="20" applyNumberFormat="1" applyFont="1" applyAlignment="1">
      <alignment vertical="center"/>
    </xf>
    <xf numFmtId="179" fontId="4" fillId="0" borderId="0" xfId="20" applyNumberFormat="1" applyAlignment="1">
      <alignment vertical="center"/>
    </xf>
    <xf numFmtId="173" fontId="4" fillId="0" borderId="0" xfId="20" applyNumberFormat="1" applyAlignment="1">
      <alignment vertical="center"/>
    </xf>
    <xf numFmtId="9" fontId="0" fillId="0" borderId="0" xfId="27" applyFont="1" applyAlignment="1">
      <alignment vertical="center"/>
    </xf>
    <xf numFmtId="4" fontId="4" fillId="0" borderId="0" xfId="20" applyNumberFormat="1" applyAlignment="1">
      <alignment vertical="center"/>
    </xf>
    <xf numFmtId="180" fontId="4" fillId="0" borderId="0" xfId="20" applyNumberFormat="1" applyAlignment="1">
      <alignment vertical="center"/>
    </xf>
    <xf numFmtId="9" fontId="4" fillId="0" borderId="0" xfId="2" applyFont="1" applyAlignment="1">
      <alignment vertical="center"/>
    </xf>
    <xf numFmtId="173" fontId="39" fillId="8" borderId="0" xfId="27" applyNumberFormat="1" applyFont="1" applyFill="1" applyAlignment="1">
      <alignment vertical="center"/>
    </xf>
    <xf numFmtId="1" fontId="39" fillId="8" borderId="0" xfId="35" applyNumberFormat="1" applyFont="1" applyFill="1" applyAlignment="1">
      <alignment vertical="center"/>
    </xf>
    <xf numFmtId="10" fontId="19" fillId="0" borderId="16" xfId="2" applyNumberFormat="1" applyFont="1" applyBorder="1" applyAlignment="1">
      <alignment horizontal="center" vertical="center" wrapText="1"/>
    </xf>
    <xf numFmtId="181" fontId="0" fillId="0" borderId="1" xfId="0" applyNumberFormat="1" applyBorder="1"/>
    <xf numFmtId="39" fontId="4" fillId="0" borderId="0" xfId="34" applyNumberFormat="1"/>
    <xf numFmtId="39" fontId="5" fillId="0" borderId="0" xfId="34" applyNumberFormat="1" applyFont="1"/>
    <xf numFmtId="10" fontId="4" fillId="0" borderId="0" xfId="34" applyNumberFormat="1"/>
    <xf numFmtId="0" fontId="4" fillId="0" borderId="37" xfId="34" applyBorder="1" applyAlignment="1">
      <alignment horizontal="center"/>
    </xf>
    <xf numFmtId="0" fontId="4" fillId="0" borderId="42" xfId="34" applyBorder="1" applyAlignment="1">
      <alignment horizontal="center"/>
    </xf>
    <xf numFmtId="172" fontId="4" fillId="0" borderId="1" xfId="34" applyNumberFormat="1" applyBorder="1"/>
    <xf numFmtId="172" fontId="5" fillId="2" borderId="1" xfId="34" applyNumberFormat="1" applyFont="1" applyFill="1" applyBorder="1"/>
    <xf numFmtId="172" fontId="5" fillId="0" borderId="1" xfId="34" applyNumberFormat="1" applyFont="1" applyBorder="1"/>
    <xf numFmtId="0" fontId="4" fillId="0" borderId="0" xfId="32"/>
    <xf numFmtId="9" fontId="42" fillId="3" borderId="0" xfId="2" applyFont="1" applyFill="1" applyAlignment="1">
      <alignment vertical="center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vertical="center" indent="1"/>
    </xf>
    <xf numFmtId="182" fontId="0" fillId="0" borderId="0" xfId="0" applyNumberFormat="1"/>
    <xf numFmtId="178" fontId="27" fillId="7" borderId="1" xfId="0" applyNumberFormat="1" applyFont="1" applyFill="1" applyBorder="1"/>
    <xf numFmtId="9" fontId="23" fillId="0" borderId="1" xfId="0" applyNumberFormat="1" applyFont="1" applyBorder="1"/>
    <xf numFmtId="178" fontId="27" fillId="7" borderId="5" xfId="3" applyNumberFormat="1" applyFont="1" applyFill="1" applyBorder="1"/>
    <xf numFmtId="178" fontId="27" fillId="0" borderId="0" xfId="3" applyNumberFormat="1" applyFont="1"/>
    <xf numFmtId="0" fontId="6" fillId="0" borderId="0" xfId="8" applyAlignment="1">
      <alignment horizontal="left" vertical="top"/>
    </xf>
    <xf numFmtId="166" fontId="6" fillId="0" borderId="0" xfId="35" applyFont="1" applyAlignment="1">
      <alignment horizontal="left" vertical="top"/>
    </xf>
    <xf numFmtId="166" fontId="6" fillId="0" borderId="0" xfId="8" applyNumberFormat="1" applyAlignment="1">
      <alignment horizontal="left" vertical="top"/>
    </xf>
    <xf numFmtId="183" fontId="6" fillId="0" borderId="0" xfId="8" applyNumberFormat="1" applyAlignment="1">
      <alignment horizontal="left" vertical="top"/>
    </xf>
    <xf numFmtId="166" fontId="45" fillId="0" borderId="0" xfId="35" applyFont="1" applyAlignment="1">
      <alignment horizontal="left" vertical="top"/>
    </xf>
    <xf numFmtId="164" fontId="45" fillId="0" borderId="0" xfId="8" applyNumberFormat="1" applyFont="1" applyAlignment="1">
      <alignment horizontal="left" vertical="top"/>
    </xf>
    <xf numFmtId="0" fontId="6" fillId="0" borderId="0" xfId="8" applyAlignment="1">
      <alignment horizontal="center" vertical="center"/>
    </xf>
    <xf numFmtId="166" fontId="45" fillId="2" borderId="0" xfId="35" applyFont="1" applyFill="1" applyAlignment="1">
      <alignment horizontal="left" vertical="top"/>
    </xf>
    <xf numFmtId="164" fontId="46" fillId="0" borderId="0" xfId="35" applyNumberFormat="1" applyFont="1" applyAlignment="1">
      <alignment horizontal="left" vertical="top"/>
    </xf>
    <xf numFmtId="164" fontId="46" fillId="0" borderId="0" xfId="35" applyNumberFormat="1" applyFont="1" applyAlignment="1">
      <alignment horizontal="center" vertical="top"/>
    </xf>
    <xf numFmtId="183" fontId="47" fillId="0" borderId="1" xfId="8" applyNumberFormat="1" applyFont="1" applyBorder="1" applyAlignment="1">
      <alignment horizontal="center" vertical="center" wrapText="1"/>
    </xf>
    <xf numFmtId="183" fontId="48" fillId="0" borderId="1" xfId="8" applyNumberFormat="1" applyFont="1" applyBorder="1" applyAlignment="1">
      <alignment horizontal="center" vertical="center" wrapText="1"/>
    </xf>
    <xf numFmtId="0" fontId="48" fillId="0" borderId="1" xfId="8" applyFont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6" fillId="0" borderId="0" xfId="8" applyAlignment="1">
      <alignment vertical="top"/>
    </xf>
    <xf numFmtId="167" fontId="6" fillId="0" borderId="0" xfId="8" applyNumberFormat="1" applyAlignment="1">
      <alignment horizontal="left" vertical="top"/>
    </xf>
    <xf numFmtId="0" fontId="49" fillId="0" borderId="0" xfId="8" applyFont="1" applyAlignment="1">
      <alignment horizontal="center" vertical="center" wrapText="1"/>
    </xf>
    <xf numFmtId="164" fontId="47" fillId="0" borderId="0" xfId="8" applyNumberFormat="1" applyFont="1" applyAlignment="1">
      <alignment horizontal="center" vertical="center" wrapText="1"/>
    </xf>
    <xf numFmtId="0" fontId="50" fillId="0" borderId="0" xfId="8" applyFont="1" applyAlignment="1">
      <alignment horizontal="center" vertical="center" wrapText="1"/>
    </xf>
    <xf numFmtId="167" fontId="7" fillId="0" borderId="0" xfId="8" applyNumberFormat="1" applyFont="1" applyAlignment="1">
      <alignment horizontal="center" vertical="center" wrapText="1"/>
    </xf>
    <xf numFmtId="43" fontId="48" fillId="0" borderId="0" xfId="33" applyFont="1" applyAlignment="1">
      <alignment horizontal="center" vertical="center" wrapText="1"/>
    </xf>
    <xf numFmtId="184" fontId="48" fillId="0" borderId="0" xfId="8" applyNumberFormat="1" applyFont="1" applyAlignment="1">
      <alignment horizontal="center" vertical="center" wrapText="1"/>
    </xf>
    <xf numFmtId="164" fontId="47" fillId="0" borderId="1" xfId="8" applyNumberFormat="1" applyFont="1" applyBorder="1" applyAlignment="1">
      <alignment horizontal="center" vertical="center" wrapText="1"/>
    </xf>
    <xf numFmtId="184" fontId="48" fillId="0" borderId="43" xfId="8" applyNumberFormat="1" applyFont="1" applyBorder="1" applyAlignment="1">
      <alignment horizontal="center" vertical="center" wrapText="1"/>
    </xf>
    <xf numFmtId="183" fontId="52" fillId="0" borderId="0" xfId="8" applyNumberFormat="1" applyFont="1" applyAlignment="1">
      <alignment horizontal="center" vertical="center" wrapText="1"/>
    </xf>
    <xf numFmtId="0" fontId="53" fillId="0" borderId="0" xfId="8" applyFont="1" applyAlignment="1">
      <alignment horizontal="center" vertical="center" wrapText="1"/>
    </xf>
    <xf numFmtId="0" fontId="6" fillId="0" borderId="0" xfId="8" applyAlignment="1">
      <alignment horizontal="left" vertical="center" wrapText="1"/>
    </xf>
    <xf numFmtId="183" fontId="48" fillId="0" borderId="11" xfId="8" applyNumberFormat="1" applyFont="1" applyBorder="1" applyAlignment="1">
      <alignment horizontal="center" vertical="center" wrapText="1"/>
    </xf>
    <xf numFmtId="10" fontId="49" fillId="0" borderId="11" xfId="8" applyNumberFormat="1" applyFont="1" applyBorder="1" applyAlignment="1">
      <alignment horizontal="center" vertical="center" wrapText="1"/>
    </xf>
    <xf numFmtId="0" fontId="50" fillId="0" borderId="11" xfId="8" applyFont="1" applyBorder="1" applyAlignment="1">
      <alignment horizontal="center" vertical="center" wrapText="1"/>
    </xf>
    <xf numFmtId="9" fontId="49" fillId="0" borderId="1" xfId="8" applyNumberFormat="1" applyFont="1" applyBorder="1" applyAlignment="1">
      <alignment horizontal="center" vertical="center" wrapText="1"/>
    </xf>
    <xf numFmtId="0" fontId="50" fillId="0" borderId="1" xfId="8" applyFont="1" applyBorder="1" applyAlignment="1">
      <alignment horizontal="center" vertical="center" wrapText="1"/>
    </xf>
    <xf numFmtId="0" fontId="47" fillId="0" borderId="44" xfId="8" applyFont="1" applyBorder="1" applyAlignment="1">
      <alignment horizontal="center" vertical="center" wrapText="1"/>
    </xf>
    <xf numFmtId="0" fontId="47" fillId="0" borderId="14" xfId="8" applyFont="1" applyBorder="1" applyAlignment="1">
      <alignment horizontal="center" vertical="center" wrapText="1"/>
    </xf>
    <xf numFmtId="0" fontId="19" fillId="0" borderId="0" xfId="0" applyFont="1"/>
    <xf numFmtId="0" fontId="55" fillId="0" borderId="0" xfId="0" applyFont="1"/>
    <xf numFmtId="167" fontId="19" fillId="0" borderId="0" xfId="1" applyFont="1"/>
    <xf numFmtId="0" fontId="19" fillId="0" borderId="46" xfId="0" applyFont="1" applyBorder="1"/>
    <xf numFmtId="0" fontId="56" fillId="0" borderId="6" xfId="0" applyFont="1" applyBorder="1"/>
    <xf numFmtId="0" fontId="19" fillId="0" borderId="47" xfId="0" applyFont="1" applyBorder="1"/>
    <xf numFmtId="0" fontId="19" fillId="0" borderId="35" xfId="0" applyFont="1" applyBorder="1"/>
    <xf numFmtId="0" fontId="19" fillId="0" borderId="12" xfId="0" applyFont="1" applyBorder="1"/>
    <xf numFmtId="0" fontId="19" fillId="0" borderId="7" xfId="0" applyFont="1" applyBorder="1"/>
    <xf numFmtId="37" fontId="58" fillId="0" borderId="0" xfId="0" applyNumberFormat="1" applyFont="1" applyAlignment="1">
      <alignment horizontal="center"/>
    </xf>
    <xf numFmtId="37" fontId="59" fillId="0" borderId="0" xfId="0" applyNumberFormat="1" applyFont="1" applyAlignment="1">
      <alignment horizontal="center"/>
    </xf>
    <xf numFmtId="0" fontId="56" fillId="0" borderId="47" xfId="0" applyFont="1" applyBorder="1"/>
    <xf numFmtId="0" fontId="59" fillId="0" borderId="46" xfId="0" applyFont="1" applyBorder="1" applyAlignment="1">
      <alignment horizontal="center"/>
    </xf>
    <xf numFmtId="37" fontId="56" fillId="0" borderId="46" xfId="0" applyNumberFormat="1" applyFont="1" applyBorder="1" applyAlignment="1">
      <alignment horizontal="center"/>
    </xf>
    <xf numFmtId="37" fontId="56" fillId="0" borderId="48" xfId="0" applyNumberFormat="1" applyFont="1" applyBorder="1" applyAlignment="1">
      <alignment horizontal="center"/>
    </xf>
    <xf numFmtId="37" fontId="19" fillId="0" borderId="7" xfId="0" applyNumberFormat="1" applyFont="1" applyBorder="1" applyAlignment="1">
      <alignment horizontal="center"/>
    </xf>
    <xf numFmtId="37" fontId="19" fillId="0" borderId="49" xfId="0" applyNumberFormat="1" applyFont="1" applyBorder="1" applyAlignment="1">
      <alignment horizontal="center"/>
    </xf>
    <xf numFmtId="0" fontId="19" fillId="0" borderId="50" xfId="0" applyFont="1" applyBorder="1"/>
    <xf numFmtId="0" fontId="57" fillId="10" borderId="12" xfId="0" applyFont="1" applyFill="1" applyBorder="1"/>
    <xf numFmtId="0" fontId="57" fillId="10" borderId="7" xfId="0" applyFont="1" applyFill="1" applyBorder="1"/>
    <xf numFmtId="37" fontId="57" fillId="10" borderId="7" xfId="0" applyNumberFormat="1" applyFont="1" applyFill="1" applyBorder="1" applyAlignment="1">
      <alignment horizontal="center"/>
    </xf>
    <xf numFmtId="37" fontId="57" fillId="10" borderId="49" xfId="0" applyNumberFormat="1" applyFont="1" applyFill="1" applyBorder="1" applyAlignment="1">
      <alignment horizontal="center"/>
    </xf>
    <xf numFmtId="1" fontId="56" fillId="0" borderId="6" xfId="0" applyNumberFormat="1" applyFont="1" applyBorder="1" applyAlignment="1">
      <alignment horizontal="center"/>
    </xf>
    <xf numFmtId="37" fontId="19" fillId="0" borderId="1" xfId="0" applyNumberFormat="1" applyFont="1" applyBorder="1" applyAlignment="1">
      <alignment horizontal="center"/>
    </xf>
    <xf numFmtId="37" fontId="57" fillId="0" borderId="1" xfId="0" applyNumberFormat="1" applyFont="1" applyBorder="1" applyAlignment="1">
      <alignment horizontal="center"/>
    </xf>
    <xf numFmtId="0" fontId="60" fillId="0" borderId="0" xfId="0" applyFont="1"/>
    <xf numFmtId="0" fontId="60" fillId="0" borderId="46" xfId="0" applyFont="1" applyBorder="1"/>
    <xf numFmtId="0" fontId="61" fillId="0" borderId="46" xfId="0" quotePrefix="1" applyFont="1" applyBorder="1" applyAlignment="1">
      <alignment horizontal="center"/>
    </xf>
    <xf numFmtId="0" fontId="62" fillId="0" borderId="0" xfId="0" applyFont="1" applyAlignment="1">
      <alignment horizontal="center" vertical="center" wrapText="1"/>
    </xf>
    <xf numFmtId="0" fontId="63" fillId="17" borderId="7" xfId="0" applyFont="1" applyFill="1" applyBorder="1" applyAlignment="1">
      <alignment horizontal="left" vertical="center"/>
    </xf>
    <xf numFmtId="0" fontId="63" fillId="17" borderId="7" xfId="0" applyFont="1" applyFill="1" applyBorder="1" applyAlignment="1">
      <alignment horizontal="center" vertical="center" wrapText="1"/>
    </xf>
    <xf numFmtId="0" fontId="60" fillId="0" borderId="0" xfId="0" quotePrefix="1" applyFont="1"/>
    <xf numFmtId="0" fontId="65" fillId="0" borderId="0" xfId="0" applyFont="1"/>
    <xf numFmtId="10" fontId="65" fillId="0" borderId="0" xfId="0" applyNumberFormat="1" applyFont="1" applyAlignment="1">
      <alignment horizontal="center"/>
    </xf>
    <xf numFmtId="4" fontId="65" fillId="0" borderId="0" xfId="0" applyNumberFormat="1" applyFont="1" applyAlignment="1">
      <alignment horizontal="center"/>
    </xf>
    <xf numFmtId="173" fontId="65" fillId="0" borderId="0" xfId="0" applyNumberFormat="1" applyFont="1" applyAlignment="1">
      <alignment horizontal="center"/>
    </xf>
    <xf numFmtId="173" fontId="65" fillId="0" borderId="0" xfId="2" applyNumberFormat="1" applyFont="1" applyAlignment="1">
      <alignment horizontal="center"/>
    </xf>
    <xf numFmtId="173" fontId="60" fillId="0" borderId="0" xfId="0" applyNumberFormat="1" applyFont="1"/>
    <xf numFmtId="185" fontId="65" fillId="0" borderId="0" xfId="0" applyNumberFormat="1" applyFont="1" applyAlignment="1">
      <alignment horizontal="center"/>
    </xf>
    <xf numFmtId="0" fontId="67" fillId="0" borderId="6" xfId="0" applyFont="1" applyBorder="1"/>
    <xf numFmtId="10" fontId="67" fillId="0" borderId="6" xfId="0" applyNumberFormat="1" applyFont="1" applyBorder="1" applyAlignment="1">
      <alignment horizontal="center"/>
    </xf>
    <xf numFmtId="0" fontId="65" fillId="0" borderId="0" xfId="0" applyFont="1" applyAlignment="1">
      <alignment vertical="center"/>
    </xf>
    <xf numFmtId="10" fontId="65" fillId="0" borderId="0" xfId="0" applyNumberFormat="1" applyFont="1" applyAlignment="1">
      <alignment horizontal="center" vertical="center"/>
    </xf>
    <xf numFmtId="0" fontId="65" fillId="0" borderId="6" xfId="0" applyFont="1" applyBorder="1"/>
    <xf numFmtId="0" fontId="60" fillId="0" borderId="0" xfId="0" applyFont="1" applyAlignment="1">
      <alignment horizontal="center"/>
    </xf>
    <xf numFmtId="0" fontId="63" fillId="17" borderId="6" xfId="0" applyFont="1" applyFill="1" applyBorder="1" applyAlignment="1">
      <alignment horizontal="left" vertical="center"/>
    </xf>
    <xf numFmtId="0" fontId="63" fillId="17" borderId="6" xfId="0" applyFont="1" applyFill="1" applyBorder="1" applyAlignment="1">
      <alignment horizontal="center" vertical="center" wrapText="1"/>
    </xf>
    <xf numFmtId="0" fontId="62" fillId="0" borderId="6" xfId="0" applyFont="1" applyBorder="1"/>
    <xf numFmtId="0" fontId="67" fillId="0" borderId="0" xfId="0" applyFont="1"/>
    <xf numFmtId="10" fontId="67" fillId="0" borderId="0" xfId="0" applyNumberFormat="1" applyFont="1" applyAlignment="1">
      <alignment horizontal="center"/>
    </xf>
    <xf numFmtId="0" fontId="70" fillId="0" borderId="0" xfId="0" applyFont="1"/>
    <xf numFmtId="0" fontId="66" fillId="0" borderId="0" xfId="0" applyFont="1"/>
    <xf numFmtId="0" fontId="4" fillId="0" borderId="1" xfId="32" applyBorder="1"/>
    <xf numFmtId="0" fontId="43" fillId="3" borderId="1" xfId="32" applyFont="1" applyFill="1" applyBorder="1" applyAlignment="1">
      <alignment vertical="center"/>
    </xf>
    <xf numFmtId="17" fontId="40" fillId="0" borderId="1" xfId="32" applyNumberFormat="1" applyFont="1" applyBorder="1" applyAlignment="1">
      <alignment horizontal="center" vertical="center"/>
    </xf>
    <xf numFmtId="17" fontId="40" fillId="0" borderId="1" xfId="32" applyNumberFormat="1" applyFont="1" applyBorder="1" applyAlignment="1">
      <alignment vertical="center"/>
    </xf>
    <xf numFmtId="0" fontId="7" fillId="3" borderId="1" xfId="32" applyFont="1" applyFill="1" applyBorder="1" applyAlignment="1">
      <alignment horizontal="center" vertical="center"/>
    </xf>
    <xf numFmtId="0" fontId="7" fillId="3" borderId="1" xfId="32" applyFont="1" applyFill="1" applyBorder="1" applyAlignment="1">
      <alignment vertical="center"/>
    </xf>
    <xf numFmtId="172" fontId="17" fillId="3" borderId="1" xfId="32" applyNumberFormat="1" applyFont="1" applyFill="1" applyBorder="1" applyAlignment="1">
      <alignment vertical="center"/>
    </xf>
    <xf numFmtId="173" fontId="17" fillId="3" borderId="1" xfId="27" applyNumberFormat="1" applyFont="1" applyFill="1" applyBorder="1" applyAlignment="1">
      <alignment horizontal="right" vertical="center"/>
    </xf>
    <xf numFmtId="0" fontId="43" fillId="3" borderId="1" xfId="32" applyFont="1" applyFill="1" applyBorder="1" applyAlignment="1">
      <alignment horizontal="center" vertical="center"/>
    </xf>
    <xf numFmtId="167" fontId="42" fillId="3" borderId="1" xfId="1" applyFont="1" applyFill="1" applyBorder="1" applyAlignment="1">
      <alignment vertical="center"/>
    </xf>
    <xf numFmtId="172" fontId="42" fillId="3" borderId="1" xfId="33" applyNumberFormat="1" applyFont="1" applyFill="1" applyBorder="1" applyAlignment="1">
      <alignment vertical="center"/>
    </xf>
    <xf numFmtId="173" fontId="42" fillId="3" borderId="1" xfId="27" applyNumberFormat="1" applyFont="1" applyFill="1" applyBorder="1" applyAlignment="1">
      <alignment horizontal="right" vertical="center"/>
    </xf>
    <xf numFmtId="0" fontId="42" fillId="3" borderId="1" xfId="32" applyFont="1" applyFill="1" applyBorder="1" applyAlignment="1">
      <alignment vertical="center"/>
    </xf>
    <xf numFmtId="0" fontId="4" fillId="3" borderId="1" xfId="32" applyFill="1" applyBorder="1" applyAlignment="1">
      <alignment vertical="center"/>
    </xf>
    <xf numFmtId="167" fontId="42" fillId="0" borderId="1" xfId="1" applyFont="1" applyBorder="1" applyAlignment="1">
      <alignment vertical="center"/>
    </xf>
    <xf numFmtId="172" fontId="44" fillId="0" borderId="1" xfId="33" applyNumberFormat="1" applyFont="1" applyBorder="1" applyAlignment="1">
      <alignment vertical="center"/>
    </xf>
    <xf numFmtId="169" fontId="44" fillId="3" borderId="1" xfId="33" applyNumberFormat="1" applyFont="1" applyFill="1" applyBorder="1" applyAlignment="1">
      <alignment vertical="center"/>
    </xf>
    <xf numFmtId="0" fontId="42" fillId="3" borderId="1" xfId="32" applyFont="1" applyFill="1" applyBorder="1" applyAlignment="1">
      <alignment horizontal="left" vertical="center"/>
    </xf>
    <xf numFmtId="0" fontId="4" fillId="0" borderId="1" xfId="32" applyBorder="1" applyAlignment="1">
      <alignment horizontal="center" vertical="center"/>
    </xf>
    <xf numFmtId="172" fontId="44" fillId="3" borderId="1" xfId="33" applyNumberFormat="1" applyFont="1" applyFill="1" applyBorder="1" applyAlignment="1">
      <alignment vertical="center"/>
    </xf>
    <xf numFmtId="0" fontId="5" fillId="3" borderId="1" xfId="32" applyFont="1" applyFill="1" applyBorder="1" applyAlignment="1">
      <alignment vertical="center"/>
    </xf>
    <xf numFmtId="0" fontId="5" fillId="3" borderId="1" xfId="32" applyFont="1" applyFill="1" applyBorder="1" applyAlignment="1">
      <alignment horizontal="center" vertical="center"/>
    </xf>
    <xf numFmtId="172" fontId="17" fillId="5" borderId="1" xfId="33" applyNumberFormat="1" applyFont="1" applyFill="1" applyBorder="1" applyAlignment="1">
      <alignment vertical="center"/>
    </xf>
    <xf numFmtId="9" fontId="17" fillId="5" borderId="1" xfId="2" applyFont="1" applyFill="1" applyBorder="1" applyAlignment="1">
      <alignment vertical="center"/>
    </xf>
    <xf numFmtId="17" fontId="41" fillId="0" borderId="1" xfId="32" applyNumberFormat="1" applyFont="1" applyBorder="1" applyAlignment="1">
      <alignment horizontal="center" vertical="center"/>
    </xf>
    <xf numFmtId="17" fontId="41" fillId="0" borderId="1" xfId="32" applyNumberFormat="1" applyFont="1" applyBorder="1" applyAlignment="1">
      <alignment horizontal="justify" vertical="justify"/>
    </xf>
    <xf numFmtId="0" fontId="4" fillId="3" borderId="1" xfId="32" applyFill="1" applyBorder="1" applyAlignment="1">
      <alignment horizontal="center" vertical="center"/>
    </xf>
    <xf numFmtId="0" fontId="43" fillId="3" borderId="0" xfId="32" applyFont="1" applyFill="1" applyAlignment="1">
      <alignment vertical="center"/>
    </xf>
    <xf numFmtId="17" fontId="40" fillId="0" borderId="0" xfId="32" applyNumberFormat="1" applyFont="1" applyAlignment="1">
      <alignment horizontal="center" vertical="center"/>
    </xf>
    <xf numFmtId="17" fontId="40" fillId="0" borderId="0" xfId="32" applyNumberFormat="1" applyFont="1" applyAlignment="1">
      <alignment vertical="center"/>
    </xf>
    <xf numFmtId="0" fontId="7" fillId="3" borderId="0" xfId="32" applyFont="1" applyFill="1" applyAlignment="1">
      <alignment horizontal="center" vertical="center"/>
    </xf>
    <xf numFmtId="173" fontId="17" fillId="3" borderId="0" xfId="27" applyNumberFormat="1" applyFont="1" applyFill="1" applyAlignment="1">
      <alignment horizontal="right" vertical="center"/>
    </xf>
    <xf numFmtId="0" fontId="43" fillId="3" borderId="0" xfId="32" applyFont="1" applyFill="1" applyAlignment="1">
      <alignment horizontal="center" vertical="center"/>
    </xf>
    <xf numFmtId="172" fontId="42" fillId="3" borderId="0" xfId="33" applyNumberFormat="1" applyFont="1" applyFill="1" applyAlignment="1">
      <alignment vertical="center"/>
    </xf>
    <xf numFmtId="173" fontId="42" fillId="3" borderId="0" xfId="27" applyNumberFormat="1" applyFont="1" applyFill="1" applyAlignment="1">
      <alignment horizontal="right" vertical="center"/>
    </xf>
    <xf numFmtId="0" fontId="2" fillId="0" borderId="0" xfId="23" applyFont="1"/>
    <xf numFmtId="0" fontId="1" fillId="0" borderId="0" xfId="23"/>
    <xf numFmtId="0" fontId="1" fillId="4" borderId="0" xfId="23" applyFill="1"/>
    <xf numFmtId="0" fontId="2" fillId="4" borderId="0" xfId="23" applyFont="1" applyFill="1" applyAlignment="1">
      <alignment horizontal="center"/>
    </xf>
    <xf numFmtId="0" fontId="1" fillId="0" borderId="0" xfId="23" applyAlignment="1">
      <alignment horizontal="center" vertical="center"/>
    </xf>
    <xf numFmtId="10" fontId="0" fillId="0" borderId="0" xfId="38" applyNumberFormat="1" applyFont="1"/>
    <xf numFmtId="0" fontId="1" fillId="0" borderId="0" xfId="23" applyAlignment="1">
      <alignment horizontal="left" vertical="center" wrapText="1"/>
    </xf>
    <xf numFmtId="0" fontId="2" fillId="4" borderId="0" xfId="23" applyFont="1" applyFill="1"/>
    <xf numFmtId="10" fontId="2" fillId="4" borderId="0" xfId="38" applyNumberFormat="1" applyFont="1" applyFill="1"/>
    <xf numFmtId="10" fontId="4" fillId="0" borderId="0" xfId="29" applyNumberFormat="1" applyFont="1"/>
    <xf numFmtId="10" fontId="0" fillId="0" borderId="0" xfId="29" applyNumberFormat="1" applyFont="1"/>
    <xf numFmtId="0" fontId="1" fillId="0" borderId="0" xfId="23" applyAlignment="1">
      <alignment vertical="center" wrapText="1"/>
    </xf>
    <xf numFmtId="10" fontId="2" fillId="4" borderId="0" xfId="23" applyNumberFormat="1" applyFont="1" applyFill="1"/>
    <xf numFmtId="0" fontId="1" fillId="18" borderId="0" xfId="23" applyFill="1"/>
    <xf numFmtId="0" fontId="2" fillId="18" borderId="0" xfId="23" applyFont="1" applyFill="1"/>
    <xf numFmtId="10" fontId="2" fillId="18" borderId="0" xfId="23" applyNumberFormat="1" applyFont="1" applyFill="1"/>
    <xf numFmtId="0" fontId="4" fillId="0" borderId="0" xfId="39" applyAlignment="1">
      <alignment horizontal="center"/>
    </xf>
    <xf numFmtId="10" fontId="42" fillId="0" borderId="1" xfId="39" applyNumberFormat="1" applyFont="1" applyBorder="1" applyAlignment="1">
      <alignment horizontal="center" vertical="center"/>
    </xf>
    <xf numFmtId="0" fontId="42" fillId="0" borderId="1" xfId="39" applyFont="1" applyBorder="1" applyAlignment="1">
      <alignment horizontal="center" vertical="justify"/>
    </xf>
    <xf numFmtId="0" fontId="42" fillId="0" borderId="1" xfId="39" applyFont="1" applyBorder="1" applyAlignment="1">
      <alignment horizontal="center" vertical="center"/>
    </xf>
    <xf numFmtId="0" fontId="4" fillId="0" borderId="1" xfId="39" applyBorder="1" applyAlignment="1">
      <alignment horizontal="center" vertical="center" wrapText="1"/>
    </xf>
    <xf numFmtId="0" fontId="4" fillId="0" borderId="5" xfId="39" applyBorder="1" applyAlignment="1">
      <alignment horizontal="center" vertical="center"/>
    </xf>
    <xf numFmtId="186" fontId="42" fillId="0" borderId="1" xfId="39" applyNumberFormat="1" applyFont="1" applyBorder="1" applyAlignment="1">
      <alignment horizontal="center"/>
    </xf>
    <xf numFmtId="186" fontId="42" fillId="0" borderId="1" xfId="39" applyNumberFormat="1" applyFont="1" applyBorder="1"/>
    <xf numFmtId="9" fontId="42" fillId="0" borderId="1" xfId="2" applyFont="1" applyBorder="1" applyAlignment="1">
      <alignment horizontal="center"/>
    </xf>
    <xf numFmtId="10" fontId="4" fillId="0" borderId="1" xfId="39" applyNumberFormat="1" applyBorder="1" applyAlignment="1">
      <alignment horizontal="center"/>
    </xf>
    <xf numFmtId="3" fontId="5" fillId="0" borderId="5" xfId="39" applyNumberFormat="1" applyFont="1" applyBorder="1" applyAlignment="1">
      <alignment horizontal="center" vertical="center"/>
    </xf>
    <xf numFmtId="0" fontId="5" fillId="0" borderId="0" xfId="39" applyFont="1"/>
    <xf numFmtId="0" fontId="4" fillId="0" borderId="0" xfId="39"/>
    <xf numFmtId="172" fontId="42" fillId="0" borderId="0" xfId="20" applyNumberFormat="1" applyFont="1"/>
    <xf numFmtId="10" fontId="4" fillId="0" borderId="0" xfId="39" applyNumberFormat="1" applyAlignment="1">
      <alignment horizontal="center"/>
    </xf>
    <xf numFmtId="169" fontId="5" fillId="0" borderId="1" xfId="39" applyNumberFormat="1" applyFont="1" applyBorder="1" applyAlignment="1">
      <alignment horizontal="center" vertical="center"/>
    </xf>
    <xf numFmtId="4" fontId="42" fillId="0" borderId="0" xfId="20" applyNumberFormat="1" applyFont="1"/>
    <xf numFmtId="0" fontId="42" fillId="0" borderId="0" xfId="39" applyFont="1" applyAlignment="1">
      <alignment horizontal="center"/>
    </xf>
    <xf numFmtId="172" fontId="42" fillId="0" borderId="0" xfId="20" applyNumberFormat="1" applyFont="1" applyAlignment="1">
      <alignment vertical="center"/>
    </xf>
    <xf numFmtId="0" fontId="42" fillId="0" borderId="0" xfId="20" applyFont="1" applyAlignment="1">
      <alignment horizontal="center"/>
    </xf>
    <xf numFmtId="0" fontId="42" fillId="0" borderId="0" xfId="39" applyFont="1" applyAlignment="1">
      <alignment horizontal="justify" vertical="center"/>
    </xf>
    <xf numFmtId="0" fontId="42" fillId="0" borderId="0" xfId="39" applyFont="1" applyAlignment="1">
      <alignment horizontal="center" vertical="center"/>
    </xf>
    <xf numFmtId="0" fontId="42" fillId="0" borderId="0" xfId="39" applyFont="1"/>
    <xf numFmtId="0" fontId="42" fillId="0" borderId="1" xfId="39" applyFont="1" applyBorder="1" applyAlignment="1">
      <alignment horizontal="center"/>
    </xf>
    <xf numFmtId="169" fontId="5" fillId="0" borderId="0" xfId="39" applyNumberFormat="1" applyFont="1" applyAlignment="1">
      <alignment horizontal="center" vertical="center"/>
    </xf>
    <xf numFmtId="172" fontId="42" fillId="0" borderId="1" xfId="39" applyNumberFormat="1" applyFont="1" applyBorder="1" applyAlignment="1">
      <alignment horizontal="center"/>
    </xf>
    <xf numFmtId="169" fontId="5" fillId="0" borderId="5" xfId="39" applyNumberFormat="1" applyFont="1" applyBorder="1" applyAlignment="1">
      <alignment horizontal="center" vertical="center"/>
    </xf>
    <xf numFmtId="4" fontId="42" fillId="0" borderId="0" xfId="20" applyNumberFormat="1" applyFont="1" applyAlignment="1">
      <alignment horizontal="center"/>
    </xf>
    <xf numFmtId="166" fontId="5" fillId="0" borderId="1" xfId="37" applyFont="1" applyBorder="1" applyAlignment="1">
      <alignment horizontal="center" vertical="center"/>
    </xf>
    <xf numFmtId="172" fontId="5" fillId="0" borderId="1" xfId="37" applyNumberFormat="1" applyFont="1" applyBorder="1" applyAlignment="1">
      <alignment horizontal="center" vertical="center"/>
    </xf>
    <xf numFmtId="4" fontId="42" fillId="0" borderId="0" xfId="20" applyNumberFormat="1" applyFont="1" applyAlignment="1">
      <alignment vertical="center"/>
    </xf>
    <xf numFmtId="0" fontId="4" fillId="0" borderId="0" xfId="39" applyAlignment="1">
      <alignment wrapText="1"/>
    </xf>
    <xf numFmtId="4" fontId="42" fillId="0" borderId="0" xfId="20" applyNumberFormat="1" applyFont="1" applyAlignment="1">
      <alignment horizontal="center" vertical="center"/>
    </xf>
    <xf numFmtId="172" fontId="42" fillId="0" borderId="0" xfId="20" applyNumberFormat="1" applyFont="1" applyAlignment="1">
      <alignment horizontal="right" vertical="center"/>
    </xf>
    <xf numFmtId="169" fontId="14" fillId="0" borderId="1" xfId="39" applyNumberFormat="1" applyFont="1" applyBorder="1" applyAlignment="1">
      <alignment horizontal="center" vertical="center"/>
    </xf>
    <xf numFmtId="0" fontId="14" fillId="0" borderId="1" xfId="39" applyFont="1" applyBorder="1" applyAlignment="1">
      <alignment horizontal="center"/>
    </xf>
    <xf numFmtId="169" fontId="14" fillId="0" borderId="0" xfId="39" applyNumberFormat="1" applyFont="1" applyAlignment="1">
      <alignment horizontal="center" vertical="center"/>
    </xf>
    <xf numFmtId="166" fontId="14" fillId="0" borderId="1" xfId="37" applyFont="1" applyBorder="1" applyAlignment="1">
      <alignment horizontal="center" vertical="center"/>
    </xf>
    <xf numFmtId="0" fontId="71" fillId="0" borderId="51" xfId="39" applyFont="1" applyBorder="1" applyAlignment="1">
      <alignment horizontal="center" vertical="center" wrapText="1"/>
    </xf>
    <xf numFmtId="0" fontId="71" fillId="0" borderId="51" xfId="39" applyFont="1" applyBorder="1" applyAlignment="1">
      <alignment horizontal="left" vertical="center" wrapText="1"/>
    </xf>
    <xf numFmtId="165" fontId="42" fillId="0" borderId="51" xfId="39" applyNumberFormat="1" applyFont="1" applyBorder="1" applyAlignment="1">
      <alignment wrapText="1"/>
    </xf>
    <xf numFmtId="0" fontId="4" fillId="0" borderId="48" xfId="39" applyBorder="1"/>
    <xf numFmtId="0" fontId="4" fillId="0" borderId="47" xfId="39" applyBorder="1"/>
    <xf numFmtId="0" fontId="4" fillId="2" borderId="52" xfId="39" applyFill="1" applyBorder="1" applyAlignment="1">
      <alignment horizontal="center"/>
    </xf>
    <xf numFmtId="0" fontId="4" fillId="0" borderId="52" xfId="39" applyBorder="1" applyAlignment="1">
      <alignment horizontal="center"/>
    </xf>
    <xf numFmtId="0" fontId="4" fillId="2" borderId="0" xfId="39" applyFill="1" applyAlignment="1">
      <alignment horizontal="center"/>
    </xf>
    <xf numFmtId="0" fontId="4" fillId="2" borderId="21" xfId="39" applyFill="1" applyBorder="1" applyAlignment="1">
      <alignment horizontal="center"/>
    </xf>
    <xf numFmtId="0" fontId="4" fillId="0" borderId="21" xfId="39" applyBorder="1" applyAlignment="1">
      <alignment horizontal="center"/>
    </xf>
    <xf numFmtId="0" fontId="4" fillId="2" borderId="52" xfId="39" applyFill="1" applyBorder="1" applyAlignment="1">
      <alignment horizontal="center" vertical="center"/>
    </xf>
    <xf numFmtId="0" fontId="4" fillId="0" borderId="52" xfId="39" applyBorder="1" applyAlignment="1">
      <alignment horizontal="center" vertical="center"/>
    </xf>
    <xf numFmtId="0" fontId="4" fillId="0" borderId="0" xfId="39" applyAlignment="1">
      <alignment horizontal="center" vertical="center"/>
    </xf>
    <xf numFmtId="0" fontId="4" fillId="2" borderId="0" xfId="39" applyFill="1" applyAlignment="1">
      <alignment horizontal="center" vertical="center"/>
    </xf>
    <xf numFmtId="0" fontId="4" fillId="2" borderId="21" xfId="39" applyFill="1" applyBorder="1" applyAlignment="1">
      <alignment horizontal="center" vertical="center"/>
    </xf>
    <xf numFmtId="0" fontId="4" fillId="0" borderId="21" xfId="39" applyBorder="1" applyAlignment="1">
      <alignment horizontal="center" vertical="center"/>
    </xf>
    <xf numFmtId="166" fontId="0" fillId="6" borderId="0" xfId="7" applyFont="1" applyFill="1"/>
    <xf numFmtId="0" fontId="15" fillId="3" borderId="0" xfId="20" applyFont="1" applyFill="1" applyAlignment="1">
      <alignment vertical="center"/>
    </xf>
    <xf numFmtId="173" fontId="4" fillId="3" borderId="0" xfId="32" applyNumberFormat="1" applyFill="1" applyAlignment="1">
      <alignment vertical="center"/>
    </xf>
    <xf numFmtId="173" fontId="4" fillId="0" borderId="0" xfId="32" applyNumberFormat="1"/>
    <xf numFmtId="43" fontId="16" fillId="0" borderId="1" xfId="36" applyFont="1" applyBorder="1" applyAlignment="1">
      <alignment horizontal="justify" vertical="center"/>
    </xf>
    <xf numFmtId="173" fontId="30" fillId="0" borderId="1" xfId="2" applyNumberFormat="1" applyFont="1" applyBorder="1" applyAlignment="1">
      <alignment horizontal="center"/>
    </xf>
    <xf numFmtId="0" fontId="72" fillId="0" borderId="0" xfId="0" applyFont="1" applyAlignment="1">
      <alignment vertical="center" wrapText="1"/>
    </xf>
    <xf numFmtId="0" fontId="73" fillId="0" borderId="28" xfId="0" applyFont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  <xf numFmtId="3" fontId="74" fillId="0" borderId="24" xfId="0" applyNumberFormat="1" applyFont="1" applyBorder="1" applyAlignment="1">
      <alignment horizontal="center" vertical="center"/>
    </xf>
    <xf numFmtId="0" fontId="74" fillId="0" borderId="24" xfId="0" applyFont="1" applyBorder="1" applyAlignment="1">
      <alignment horizontal="center" vertical="center" wrapText="1"/>
    </xf>
    <xf numFmtId="4" fontId="74" fillId="0" borderId="24" xfId="0" applyNumberFormat="1" applyFont="1" applyBorder="1" applyAlignment="1">
      <alignment horizontal="center" vertical="center"/>
    </xf>
    <xf numFmtId="4" fontId="74" fillId="0" borderId="24" xfId="0" applyNumberFormat="1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 vertical="center"/>
    </xf>
    <xf numFmtId="0" fontId="75" fillId="0" borderId="23" xfId="0" applyFont="1" applyBorder="1" applyAlignment="1">
      <alignment horizontal="center" vertical="center" wrapText="1"/>
    </xf>
    <xf numFmtId="3" fontId="75" fillId="0" borderId="24" xfId="0" applyNumberFormat="1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 wrapText="1"/>
    </xf>
    <xf numFmtId="4" fontId="75" fillId="0" borderId="24" xfId="0" applyNumberFormat="1" applyFont="1" applyBorder="1" applyAlignment="1">
      <alignment horizontal="center" vertical="center"/>
    </xf>
    <xf numFmtId="4" fontId="75" fillId="0" borderId="24" xfId="0" applyNumberFormat="1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4" fontId="21" fillId="0" borderId="2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3" borderId="1" xfId="32" applyFont="1" applyFill="1" applyBorder="1" applyAlignment="1">
      <alignment vertical="center" wrapText="1"/>
    </xf>
    <xf numFmtId="166" fontId="16" fillId="0" borderId="1" xfId="7" applyFont="1" applyFill="1" applyBorder="1" applyAlignment="1">
      <alignment horizontal="justify" vertical="center"/>
    </xf>
    <xf numFmtId="9" fontId="5" fillId="0" borderId="6" xfId="27" applyFont="1" applyFill="1" applyBorder="1" applyAlignment="1">
      <alignment vertical="center"/>
    </xf>
    <xf numFmtId="0" fontId="4" fillId="0" borderId="0" xfId="39" applyFill="1"/>
    <xf numFmtId="0" fontId="4" fillId="0" borderId="51" xfId="39" applyFont="1" applyBorder="1" applyAlignment="1">
      <alignment wrapText="1"/>
    </xf>
    <xf numFmtId="0" fontId="4" fillId="0" borderId="51" xfId="39" applyFont="1" applyBorder="1" applyAlignment="1">
      <alignment horizontal="center" wrapText="1"/>
    </xf>
    <xf numFmtId="0" fontId="4" fillId="0" borderId="0" xfId="39" applyFont="1"/>
    <xf numFmtId="0" fontId="24" fillId="2" borderId="1" xfId="0" applyFont="1" applyFill="1" applyBorder="1"/>
    <xf numFmtId="10" fontId="0" fillId="0" borderId="1" xfId="2" applyNumberFormat="1" applyFont="1" applyBorder="1"/>
    <xf numFmtId="177" fontId="0" fillId="0" borderId="1" xfId="3" applyNumberFormat="1" applyFont="1" applyBorder="1"/>
    <xf numFmtId="187" fontId="0" fillId="0" borderId="0" xfId="0" applyNumberFormat="1"/>
    <xf numFmtId="0" fontId="0" fillId="0" borderId="9" xfId="0" applyBorder="1"/>
    <xf numFmtId="10" fontId="0" fillId="0" borderId="43" xfId="2" applyNumberFormat="1" applyFont="1" applyBorder="1"/>
    <xf numFmtId="17" fontId="0" fillId="0" borderId="10" xfId="0" applyNumberFormat="1" applyBorder="1"/>
    <xf numFmtId="10" fontId="0" fillId="0" borderId="58" xfId="2" applyNumberFormat="1" applyFont="1" applyBorder="1"/>
    <xf numFmtId="0" fontId="2" fillId="0" borderId="59" xfId="0" applyFont="1" applyBorder="1" applyAlignment="1">
      <alignment horizontal="right"/>
    </xf>
    <xf numFmtId="10" fontId="2" fillId="2" borderId="60" xfId="2" applyNumberFormat="1" applyFont="1" applyFill="1" applyBorder="1"/>
    <xf numFmtId="166" fontId="0" fillId="0" borderId="0" xfId="37" applyFont="1"/>
    <xf numFmtId="166" fontId="42" fillId="3" borderId="1" xfId="37" applyFont="1" applyFill="1" applyBorder="1" applyAlignment="1">
      <alignment vertical="center"/>
    </xf>
    <xf numFmtId="44" fontId="0" fillId="0" borderId="0" xfId="0" applyNumberFormat="1"/>
    <xf numFmtId="0" fontId="43" fillId="3" borderId="5" xfId="32" applyFont="1" applyFill="1" applyBorder="1" applyAlignment="1">
      <alignment horizontal="center" vertical="center"/>
    </xf>
    <xf numFmtId="173" fontId="42" fillId="3" borderId="3" xfId="27" applyNumberFormat="1" applyFont="1" applyFill="1" applyBorder="1" applyAlignment="1">
      <alignment horizontal="right" vertical="center"/>
    </xf>
    <xf numFmtId="9" fontId="17" fillId="5" borderId="16" xfId="2" applyFont="1" applyFill="1" applyBorder="1" applyAlignment="1">
      <alignment vertical="center"/>
    </xf>
    <xf numFmtId="169" fontId="42" fillId="0" borderId="1" xfId="33" applyNumberFormat="1" applyFont="1" applyBorder="1" applyAlignment="1">
      <alignment vertical="center"/>
    </xf>
    <xf numFmtId="0" fontId="43" fillId="3" borderId="1" xfId="32" applyFont="1" applyFill="1" applyBorder="1" applyAlignment="1">
      <alignment vertical="center" wrapText="1"/>
    </xf>
    <xf numFmtId="172" fontId="42" fillId="0" borderId="1" xfId="33" applyNumberFormat="1" applyFont="1" applyFill="1" applyBorder="1" applyAlignment="1">
      <alignment vertical="center"/>
    </xf>
    <xf numFmtId="0" fontId="43" fillId="0" borderId="1" xfId="32" applyFont="1" applyBorder="1" applyAlignment="1">
      <alignment vertical="center"/>
    </xf>
    <xf numFmtId="167" fontId="42" fillId="0" borderId="1" xfId="1" applyFont="1" applyFill="1" applyBorder="1" applyAlignment="1">
      <alignment vertical="center"/>
    </xf>
    <xf numFmtId="0" fontId="4" fillId="0" borderId="1" xfId="32" applyBorder="1" applyAlignment="1">
      <alignment horizontal="left" vertical="center" indent="4"/>
    </xf>
    <xf numFmtId="9" fontId="42" fillId="3" borderId="1" xfId="2" applyFont="1" applyFill="1" applyBorder="1" applyAlignment="1">
      <alignment vertical="center"/>
    </xf>
    <xf numFmtId="37" fontId="0" fillId="0" borderId="0" xfId="0" applyNumberFormat="1"/>
    <xf numFmtId="37" fontId="4" fillId="0" borderId="1" xfId="34" applyNumberFormat="1" applyFill="1" applyBorder="1"/>
    <xf numFmtId="0" fontId="5" fillId="0" borderId="4" xfId="32" applyFont="1" applyBorder="1" applyAlignment="1">
      <alignment horizontal="center" vertical="center"/>
    </xf>
    <xf numFmtId="0" fontId="5" fillId="0" borderId="15" xfId="32" applyFont="1" applyBorder="1" applyAlignment="1">
      <alignment horizontal="center" vertical="center"/>
    </xf>
    <xf numFmtId="0" fontId="5" fillId="0" borderId="16" xfId="32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1" xfId="32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 wrapText="1"/>
    </xf>
    <xf numFmtId="0" fontId="73" fillId="0" borderId="27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3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9" xfId="34" applyBorder="1" applyAlignment="1">
      <alignment horizontal="center"/>
    </xf>
    <xf numFmtId="0" fontId="4" fillId="0" borderId="40" xfId="34" applyBorder="1" applyAlignment="1">
      <alignment horizontal="center"/>
    </xf>
    <xf numFmtId="0" fontId="4" fillId="0" borderId="41" xfId="34" applyBorder="1" applyAlignment="1">
      <alignment horizontal="center"/>
    </xf>
    <xf numFmtId="0" fontId="4" fillId="0" borderId="4" xfId="34" applyBorder="1" applyAlignment="1">
      <alignment horizontal="center"/>
    </xf>
    <xf numFmtId="0" fontId="4" fillId="0" borderId="15" xfId="34" applyBorder="1" applyAlignment="1">
      <alignment horizontal="center"/>
    </xf>
    <xf numFmtId="0" fontId="4" fillId="0" borderId="16" xfId="34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5" fillId="0" borderId="1" xfId="34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1" xfId="34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3" borderId="0" xfId="20" applyFont="1" applyFill="1" applyAlignment="1">
      <alignment horizontal="center" vertical="center"/>
    </xf>
    <xf numFmtId="0" fontId="14" fillId="3" borderId="7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169" fontId="7" fillId="3" borderId="5" xfId="36" applyNumberFormat="1" applyFont="1" applyFill="1" applyBorder="1" applyAlignment="1">
      <alignment horizontal="center" vertical="center"/>
    </xf>
    <xf numFmtId="169" fontId="7" fillId="3" borderId="3" xfId="36" applyNumberFormat="1" applyFont="1" applyFill="1" applyBorder="1" applyAlignment="1">
      <alignment horizontal="center" vertical="center"/>
    </xf>
    <xf numFmtId="0" fontId="15" fillId="3" borderId="1" xfId="2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26" xfId="39" applyFont="1" applyBorder="1" applyAlignment="1">
      <alignment horizontal="justify" vertical="center"/>
    </xf>
    <xf numFmtId="0" fontId="5" fillId="0" borderId="23" xfId="39" applyFont="1" applyBorder="1" applyAlignment="1">
      <alignment horizontal="justify" vertical="center"/>
    </xf>
    <xf numFmtId="0" fontId="4" fillId="0" borderId="54" xfId="39" applyBorder="1" applyAlignment="1">
      <alignment horizontal="center" vertical="center"/>
    </xf>
    <xf numFmtId="0" fontId="4" fillId="0" borderId="52" xfId="39" applyBorder="1" applyAlignment="1">
      <alignment horizontal="center" vertical="center"/>
    </xf>
    <xf numFmtId="0" fontId="4" fillId="0" borderId="34" xfId="39" applyBorder="1" applyAlignment="1">
      <alignment horizontal="center"/>
    </xf>
    <xf numFmtId="0" fontId="4" fillId="0" borderId="21" xfId="39" applyBorder="1" applyAlignment="1">
      <alignment horizontal="center"/>
    </xf>
    <xf numFmtId="0" fontId="5" fillId="0" borderId="25" xfId="39" applyFont="1" applyBorder="1" applyAlignment="1">
      <alignment horizontal="justify" vertical="center"/>
    </xf>
    <xf numFmtId="0" fontId="4" fillId="0" borderId="54" xfId="39" applyBorder="1" applyAlignment="1">
      <alignment horizontal="center"/>
    </xf>
    <xf numFmtId="0" fontId="4" fillId="0" borderId="52" xfId="39" applyBorder="1" applyAlignment="1">
      <alignment horizontal="center"/>
    </xf>
    <xf numFmtId="0" fontId="4" fillId="0" borderId="34" xfId="39" applyBorder="1" applyAlignment="1">
      <alignment horizontal="justify" vertical="justify"/>
    </xf>
    <xf numFmtId="0" fontId="4" fillId="0" borderId="21" xfId="39" applyBorder="1" applyAlignment="1">
      <alignment horizontal="justify" vertical="justify"/>
    </xf>
    <xf numFmtId="0" fontId="4" fillId="0" borderId="36" xfId="39" applyBorder="1" applyAlignment="1">
      <alignment horizontal="center"/>
    </xf>
    <xf numFmtId="0" fontId="4" fillId="0" borderId="0" xfId="39" applyAlignment="1">
      <alignment horizontal="center"/>
    </xf>
    <xf numFmtId="0" fontId="5" fillId="0" borderId="54" xfId="39" applyFont="1" applyBorder="1" applyAlignment="1">
      <alignment horizontal="justify" vertical="center"/>
    </xf>
    <xf numFmtId="0" fontId="5" fillId="0" borderId="34" xfId="39" applyFont="1" applyBorder="1" applyAlignment="1">
      <alignment horizontal="justify" vertical="center"/>
    </xf>
    <xf numFmtId="0" fontId="4" fillId="0" borderId="54" xfId="39" applyBorder="1" applyAlignment="1">
      <alignment horizontal="justify" vertical="justify"/>
    </xf>
    <xf numFmtId="0" fontId="4" fillId="0" borderId="52" xfId="39" applyBorder="1" applyAlignment="1">
      <alignment horizontal="justify" vertical="justify"/>
    </xf>
    <xf numFmtId="0" fontId="4" fillId="0" borderId="36" xfId="39" applyBorder="1" applyAlignment="1">
      <alignment horizontal="justify" vertical="justify"/>
    </xf>
    <xf numFmtId="0" fontId="4" fillId="0" borderId="0" xfId="39" applyAlignment="1">
      <alignment horizontal="justify" vertical="justify"/>
    </xf>
    <xf numFmtId="0" fontId="5" fillId="0" borderId="36" xfId="39" applyFont="1" applyBorder="1" applyAlignment="1">
      <alignment horizontal="justify" vertical="center"/>
    </xf>
    <xf numFmtId="0" fontId="5" fillId="0" borderId="55" xfId="39" applyFont="1" applyBorder="1" applyAlignment="1">
      <alignment horizontal="center" vertical="center"/>
    </xf>
    <xf numFmtId="0" fontId="5" fillId="0" borderId="56" xfId="39" applyFont="1" applyBorder="1" applyAlignment="1">
      <alignment horizontal="center" vertical="center"/>
    </xf>
    <xf numFmtId="0" fontId="5" fillId="0" borderId="57" xfId="39" applyFont="1" applyBorder="1" applyAlignment="1">
      <alignment horizontal="center" vertical="center"/>
    </xf>
    <xf numFmtId="0" fontId="14" fillId="0" borderId="4" xfId="39" applyFont="1" applyBorder="1" applyAlignment="1">
      <alignment horizontal="center"/>
    </xf>
    <xf numFmtId="0" fontId="14" fillId="0" borderId="15" xfId="39" applyFont="1" applyBorder="1" applyAlignment="1">
      <alignment horizontal="center"/>
    </xf>
    <xf numFmtId="0" fontId="14" fillId="0" borderId="16" xfId="39" applyFont="1" applyBorder="1" applyAlignment="1">
      <alignment horizontal="center"/>
    </xf>
    <xf numFmtId="0" fontId="17" fillId="0" borderId="7" xfId="39" applyFont="1" applyBorder="1" applyAlignment="1">
      <alignment horizontal="center"/>
    </xf>
    <xf numFmtId="0" fontId="5" fillId="0" borderId="4" xfId="39" applyFont="1" applyBorder="1" applyAlignment="1">
      <alignment horizontal="center"/>
    </xf>
    <xf numFmtId="0" fontId="5" fillId="0" borderId="52" xfId="39" applyFont="1" applyBorder="1" applyAlignment="1">
      <alignment horizontal="center"/>
    </xf>
    <xf numFmtId="0" fontId="5" fillId="0" borderId="53" xfId="39" applyFont="1" applyBorder="1" applyAlignment="1">
      <alignment horizontal="center"/>
    </xf>
    <xf numFmtId="0" fontId="6" fillId="5" borderId="1" xfId="8" applyFill="1" applyBorder="1" applyAlignment="1">
      <alignment horizontal="center" vertical="top"/>
    </xf>
    <xf numFmtId="0" fontId="47" fillId="0" borderId="1" xfId="8" applyFont="1" applyBorder="1" applyAlignment="1">
      <alignment horizontal="center" vertical="center" wrapText="1"/>
    </xf>
    <xf numFmtId="0" fontId="6" fillId="16" borderId="5" xfId="8" applyFill="1" applyBorder="1" applyAlignment="1">
      <alignment horizontal="center" vertical="top"/>
    </xf>
    <xf numFmtId="0" fontId="6" fillId="16" borderId="6" xfId="8" applyFill="1" applyBorder="1" applyAlignment="1">
      <alignment horizontal="center" vertical="top"/>
    </xf>
    <xf numFmtId="0" fontId="6" fillId="16" borderId="3" xfId="8" applyFill="1" applyBorder="1" applyAlignment="1">
      <alignment horizontal="center" vertical="top"/>
    </xf>
    <xf numFmtId="0" fontId="54" fillId="0" borderId="45" xfId="8" applyFont="1" applyBorder="1" applyAlignment="1">
      <alignment horizontal="center" vertical="center" wrapText="1"/>
    </xf>
    <xf numFmtId="0" fontId="51" fillId="0" borderId="0" xfId="8" applyFont="1" applyAlignment="1">
      <alignment horizontal="center" vertical="top" wrapText="1"/>
    </xf>
    <xf numFmtId="0" fontId="47" fillId="0" borderId="13" xfId="8" applyFont="1" applyBorder="1" applyAlignment="1">
      <alignment horizontal="center" vertical="center" wrapText="1"/>
    </xf>
    <xf numFmtId="0" fontId="47" fillId="0" borderId="14" xfId="8" applyFont="1" applyBorder="1" applyAlignment="1">
      <alignment horizontal="center" vertical="center" wrapText="1"/>
    </xf>
    <xf numFmtId="0" fontId="49" fillId="0" borderId="9" xfId="8" applyFont="1" applyBorder="1" applyAlignment="1">
      <alignment horizontal="center" vertical="center" wrapText="1"/>
    </xf>
    <xf numFmtId="0" fontId="49" fillId="0" borderId="10" xfId="8" applyFont="1" applyBorder="1" applyAlignment="1">
      <alignment horizontal="center" vertical="center" wrapText="1"/>
    </xf>
    <xf numFmtId="0" fontId="18" fillId="3" borderId="7" xfId="20" applyFont="1" applyFill="1" applyBorder="1" applyAlignment="1">
      <alignment horizontal="center" vertical="center"/>
    </xf>
    <xf numFmtId="3" fontId="4" fillId="0" borderId="0" xfId="20" applyNumberFormat="1" applyAlignment="1">
      <alignment horizontal="center" vertical="center"/>
    </xf>
    <xf numFmtId="3" fontId="31" fillId="0" borderId="0" xfId="20" applyNumberFormat="1" applyFont="1" applyAlignment="1">
      <alignment horizontal="center" vertical="center"/>
    </xf>
    <xf numFmtId="3" fontId="32" fillId="9" borderId="7" xfId="20" applyNumberFormat="1" applyFont="1" applyFill="1" applyBorder="1" applyAlignment="1">
      <alignment horizontal="center" vertical="center"/>
    </xf>
    <xf numFmtId="3" fontId="33" fillId="9" borderId="5" xfId="20" applyNumberFormat="1" applyFont="1" applyFill="1" applyBorder="1" applyAlignment="1">
      <alignment horizontal="center" vertical="center"/>
    </xf>
    <xf numFmtId="3" fontId="33" fillId="9" borderId="3" xfId="20" applyNumberFormat="1" applyFont="1" applyFill="1" applyBorder="1" applyAlignment="1">
      <alignment horizontal="center" vertical="center"/>
    </xf>
    <xf numFmtId="3" fontId="5" fillId="0" borderId="38" xfId="20" applyNumberFormat="1" applyFont="1" applyBorder="1" applyAlignment="1">
      <alignment horizontal="center" vertical="center"/>
    </xf>
    <xf numFmtId="3" fontId="5" fillId="0" borderId="2" xfId="20" applyNumberFormat="1" applyFont="1" applyBorder="1" applyAlignment="1">
      <alignment horizontal="center" vertical="center"/>
    </xf>
  </cellXfs>
  <cellStyles count="40">
    <cellStyle name="Comma0 - Estilo2" xfId="10" xr:uid="{00000000-0005-0000-0000-000000000000}"/>
    <cellStyle name="Comma0 - Estilo3" xfId="11" xr:uid="{00000000-0005-0000-0000-000001000000}"/>
    <cellStyle name="Comma1 - Estilo1" xfId="12" xr:uid="{00000000-0005-0000-0000-000002000000}"/>
    <cellStyle name="Currency 2" xfId="7" xr:uid="{00000000-0005-0000-0000-000003000000}"/>
    <cellStyle name="Euro" xfId="13" xr:uid="{00000000-0005-0000-0000-000004000000}"/>
    <cellStyle name="Excel Built-in Normal" xfId="14" xr:uid="{00000000-0005-0000-0000-000005000000}"/>
    <cellStyle name="Indefinido" xfId="15" xr:uid="{00000000-0005-0000-0000-000006000000}"/>
    <cellStyle name="Moeda" xfId="37" builtinId="4"/>
    <cellStyle name="Moeda 2" xfId="3" xr:uid="{00000000-0005-0000-0000-000008000000}"/>
    <cellStyle name="Moeda 2 2" xfId="35" xr:uid="{00000000-0005-0000-0000-000009000000}"/>
    <cellStyle name="Moeda 3" xfId="9" xr:uid="{00000000-0005-0000-0000-00000A000000}"/>
    <cellStyle name="MyCur" xfId="16" xr:uid="{00000000-0005-0000-0000-00000B000000}"/>
    <cellStyle name="MyCur2" xfId="17" xr:uid="{00000000-0005-0000-0000-00000C000000}"/>
    <cellStyle name="MyNumber" xfId="18" xr:uid="{00000000-0005-0000-0000-00000D000000}"/>
    <cellStyle name="MyPercent" xfId="19" xr:uid="{00000000-0005-0000-0000-00000E000000}"/>
    <cellStyle name="Normal" xfId="0" builtinId="0"/>
    <cellStyle name="Normal 2" xfId="20" xr:uid="{00000000-0005-0000-0000-000010000000}"/>
    <cellStyle name="Normal 2 3" xfId="21" xr:uid="{00000000-0005-0000-0000-000011000000}"/>
    <cellStyle name="Normal 3" xfId="22" xr:uid="{00000000-0005-0000-0000-000012000000}"/>
    <cellStyle name="Normal 4" xfId="23" xr:uid="{00000000-0005-0000-0000-000013000000}"/>
    <cellStyle name="Normal 5" xfId="24" xr:uid="{00000000-0005-0000-0000-000014000000}"/>
    <cellStyle name="Normal 6" xfId="8" xr:uid="{00000000-0005-0000-0000-000015000000}"/>
    <cellStyle name="Normal 7" xfId="32" xr:uid="{00000000-0005-0000-0000-000016000000}"/>
    <cellStyle name="Normal 8" xfId="34" xr:uid="{00000000-0005-0000-0000-000017000000}"/>
    <cellStyle name="Normal 9" xfId="39" xr:uid="{00000000-0005-0000-0000-000018000000}"/>
    <cellStyle name="Percen - Estilo1" xfId="25" xr:uid="{00000000-0005-0000-0000-000019000000}"/>
    <cellStyle name="Percen - Estilo2" xfId="26" xr:uid="{00000000-0005-0000-0000-00001A000000}"/>
    <cellStyle name="Porcentagem" xfId="2" builtinId="5"/>
    <cellStyle name="Porcentagem 2" xfId="5" xr:uid="{00000000-0005-0000-0000-00001C000000}"/>
    <cellStyle name="Porcentagem 3" xfId="4" xr:uid="{00000000-0005-0000-0000-00001D000000}"/>
    <cellStyle name="Porcentagem 3 2" xfId="38" xr:uid="{00000000-0005-0000-0000-00001E000000}"/>
    <cellStyle name="Porcentagem 4" xfId="27" xr:uid="{00000000-0005-0000-0000-00001F000000}"/>
    <cellStyle name="Separador de milhares 2" xfId="6" xr:uid="{00000000-0005-0000-0000-000020000000}"/>
    <cellStyle name="Separador de milhares 3" xfId="28" xr:uid="{00000000-0005-0000-0000-000021000000}"/>
    <cellStyle name="Separador de milhares 4" xfId="29" xr:uid="{00000000-0005-0000-0000-000022000000}"/>
    <cellStyle name="Separador de milhares 5" xfId="30" xr:uid="{00000000-0005-0000-0000-000023000000}"/>
    <cellStyle name="Separador de milhares 6" xfId="31" xr:uid="{00000000-0005-0000-0000-000024000000}"/>
    <cellStyle name="Separador de milhares 7" xfId="36" xr:uid="{00000000-0005-0000-0000-000025000000}"/>
    <cellStyle name="Vírgula" xfId="1" builtinId="3"/>
    <cellStyle name="Vírgula 2" xfId="33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FLUXO DE CAIXA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og"/>
            <c:dispRSqr val="0"/>
            <c:dispEq val="0"/>
          </c:trendline>
          <c:xVal>
            <c:numRef>
              <c:f>'Indicadores de rentabilidade'!$B$10:$AA$10</c:f>
              <c:numCache>
                <c:formatCode>#,##0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'Indicadores de rentabilidade'!$B$14:$AA$14</c:f>
              <c:numCache>
                <c:formatCode>_("R$ "* #,##0_);_("R$ "* \(#,##0\);_("R$ "* "-"_);_(@_)</c:formatCode>
                <c:ptCount val="26"/>
                <c:pt idx="0">
                  <c:v>-38046948.551433809</c:v>
                </c:pt>
                <c:pt idx="1">
                  <c:v>-31063963.710994951</c:v>
                </c:pt>
                <c:pt idx="2">
                  <c:v>-25519308.583390608</c:v>
                </c:pt>
                <c:pt idx="3">
                  <c:v>-19615877.746351965</c:v>
                </c:pt>
                <c:pt idx="4">
                  <c:v>-13353543.467706703</c:v>
                </c:pt>
                <c:pt idx="5">
                  <c:v>-6679362.2591310851</c:v>
                </c:pt>
                <c:pt idx="6">
                  <c:v>427581.82234448381</c:v>
                </c:pt>
                <c:pt idx="7">
                  <c:v>8009794.031569669</c:v>
                </c:pt>
                <c:pt idx="8">
                  <c:v>16068027.19791862</c:v>
                </c:pt>
                <c:pt idx="9">
                  <c:v>24683953.853973467</c:v>
                </c:pt>
                <c:pt idx="10">
                  <c:v>33724620.385273904</c:v>
                </c:pt>
                <c:pt idx="11">
                  <c:v>35697503.648977906</c:v>
                </c:pt>
                <c:pt idx="12">
                  <c:v>45651015.285377577</c:v>
                </c:pt>
                <c:pt idx="13">
                  <c:v>56312962.576927289</c:v>
                </c:pt>
                <c:pt idx="14">
                  <c:v>67734470.681613803</c:v>
                </c:pt>
                <c:pt idx="15">
                  <c:v>79970270.647999167</c:v>
                </c:pt>
                <c:pt idx="16">
                  <c:v>93078968.837903827</c:v>
                </c:pt>
                <c:pt idx="17">
                  <c:v>107123316.50110242</c:v>
                </c:pt>
                <c:pt idx="18">
                  <c:v>122170484.32773696</c:v>
                </c:pt>
                <c:pt idx="19">
                  <c:v>138292376.23141393</c:v>
                </c:pt>
                <c:pt idx="20">
                  <c:v>155565973.31907135</c:v>
                </c:pt>
                <c:pt idx="21">
                  <c:v>173892748.38855997</c:v>
                </c:pt>
                <c:pt idx="22">
                  <c:v>193541790.96714699</c:v>
                </c:pt>
                <c:pt idx="23">
                  <c:v>214607464.82020891</c:v>
                </c:pt>
                <c:pt idx="24">
                  <c:v>237190768.76856086</c:v>
                </c:pt>
                <c:pt idx="25">
                  <c:v>272273276.47895634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15-4FB8-93CC-AB9D54B1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9392"/>
        <c:axId val="84780928"/>
      </c:scatterChart>
      <c:valAx>
        <c:axId val="8477939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80928"/>
        <c:crosses val="autoZero"/>
        <c:crossBetween val="midCat"/>
        <c:majorUnit val="1"/>
        <c:minorUnit val="1.0000000000000005E-2"/>
      </c:valAx>
      <c:valAx>
        <c:axId val="8478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_);_(&quot;R$ &quot;* \(#,##0\);_(&quot;R$ &quot;* &quot;-&quot;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79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'Indicadores de rentabilidade'!$B$16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'Indicadores de rentabilidade'!$D$17:$D$21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cat>
          <c:val>
            <c:numRef>
              <c:f>'Indicadores de rentabilidade'!$B$17:$B$21</c:f>
              <c:numCache>
                <c:formatCode>0.0%</c:formatCode>
                <c:ptCount val="5"/>
                <c:pt idx="0">
                  <c:v>0.19514592884016002</c:v>
                </c:pt>
                <c:pt idx="1">
                  <c:v>0.18603945473150474</c:v>
                </c:pt>
                <c:pt idx="2">
                  <c:v>0.16627489698461817</c:v>
                </c:pt>
                <c:pt idx="3">
                  <c:v>0.12524413089559916</c:v>
                </c:pt>
                <c:pt idx="4">
                  <c:v>-6.0951400400063971E-2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8-493E-9C9D-A8BC11C0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57056"/>
        <c:axId val="93655040"/>
      </c:lineChart>
      <c:catAx>
        <c:axId val="941570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3655040"/>
        <c:crosses val="autoZero"/>
        <c:auto val="1"/>
        <c:lblAlgn val="ctr"/>
        <c:lblOffset val="100"/>
        <c:noMultiLvlLbl val="0"/>
      </c:catAx>
      <c:valAx>
        <c:axId val="93655040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415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'Indicadores de rentabilidade'!$C$16</c:f>
              <c:strCache>
                <c:ptCount val="1"/>
                <c:pt idx="0">
                  <c:v>VPL</c:v>
                </c:pt>
              </c:strCache>
            </c:strRef>
          </c:tx>
          <c:marker>
            <c:symbol val="none"/>
          </c:marker>
          <c:cat>
            <c:numRef>
              <c:f>'Indicadores de rentabilidade'!$D$17:$D$21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cat>
          <c:val>
            <c:numRef>
              <c:f>'Indicadores de rentabilidade'!$C$17:$C$21</c:f>
              <c:numCache>
                <c:formatCode>#,##0</c:formatCode>
                <c:ptCount val="5"/>
                <c:pt idx="0">
                  <c:v>40089728.233724624</c:v>
                </c:pt>
                <c:pt idx="1">
                  <c:v>28375045.400905523</c:v>
                </c:pt>
                <c:pt idx="2">
                  <c:v>15979492.067674059</c:v>
                </c:pt>
                <c:pt idx="3">
                  <c:v>4201739.3903561188</c:v>
                </c:pt>
                <c:pt idx="4">
                  <c:v>-12946007.645907072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C-4088-BDE6-751E8F6F7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80000"/>
        <c:axId val="93681536"/>
      </c:lineChart>
      <c:catAx>
        <c:axId val="936800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3681536"/>
        <c:crosses val="autoZero"/>
        <c:auto val="1"/>
        <c:lblAlgn val="ctr"/>
        <c:lblOffset val="100"/>
        <c:noMultiLvlLbl val="0"/>
      </c:catAx>
      <c:valAx>
        <c:axId val="93681536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9368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22</xdr:row>
      <xdr:rowOff>0</xdr:rowOff>
    </xdr:from>
    <xdr:to>
      <xdr:col>17</xdr:col>
      <xdr:colOff>2202192</xdr:colOff>
      <xdr:row>50</xdr:row>
      <xdr:rowOff>113618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1875" y="5162550"/>
          <a:ext cx="6428571" cy="5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104775</xdr:rowOff>
    </xdr:from>
    <xdr:to>
      <xdr:col>4</xdr:col>
      <xdr:colOff>922986</xdr:colOff>
      <xdr:row>44</xdr:row>
      <xdr:rowOff>94584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52775"/>
          <a:ext cx="7514286" cy="53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1924049</xdr:colOff>
      <xdr:row>0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799" cy="19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2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ANÁLISE DE VIABILIDADE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22</xdr:row>
      <xdr:rowOff>142875</xdr:rowOff>
    </xdr:from>
    <xdr:to>
      <xdr:col>8</xdr:col>
      <xdr:colOff>304800</xdr:colOff>
      <xdr:row>47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14</xdr:row>
      <xdr:rowOff>152400</xdr:rowOff>
    </xdr:from>
    <xdr:to>
      <xdr:col>9</xdr:col>
      <xdr:colOff>381000</xdr:colOff>
      <xdr:row>22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695325</xdr:colOff>
      <xdr:row>14</xdr:row>
      <xdr:rowOff>123826</xdr:rowOff>
    </xdr:from>
    <xdr:to>
      <xdr:col>16</xdr:col>
      <xdr:colOff>19050</xdr:colOff>
      <xdr:row>21</xdr:row>
      <xdr:rowOff>123826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Projetos%20Eficientes/Plano%20de%20Neg&#243;cios%20Loca&#231;&#227;o%205Mwh%20V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MANENTE/DIRETORIA/PRIVATE_%20EQUITY/Projetos/Saude/Delfin%20Laborat&#243;rios/Modelo/Modelo%20Delfin%20-%20Nova%20Vers&#227;o%20(Fev12)%20v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IVALOR/Desktop/V3%20-%20Viabilidade%20financeira%20AGRESE%2014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soal"/>
      <sheetName val="Enc. sociais"/>
      <sheetName val="fixos &amp; variaveis"/>
      <sheetName val="Impostos"/>
      <sheetName val="Invest."/>
      <sheetName val="Receitas"/>
      <sheetName val="Fin. BNB"/>
      <sheetName val="Fluxo cx"/>
      <sheetName val="Curva"/>
      <sheetName val="Clientes"/>
      <sheetName val="Doc."/>
    </sheetNames>
    <sheetDataSet>
      <sheetData sheetId="0" refreshError="1">
        <row r="15">
          <cell r="E15">
            <v>2107.5156689999999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soal"/>
      <sheetName val="Enc. sociais"/>
      <sheetName val="Despesas Gerais"/>
      <sheetName val="Invest. em Pre e Implantação"/>
      <sheetName val="Reinvestimento"/>
      <sheetName val="Encerramento e Monitoramento"/>
      <sheetName val="Gravimetria"/>
      <sheetName val="Receitas"/>
      <sheetName val="Impostos"/>
      <sheetName val="Depreciação"/>
      <sheetName val="DRE"/>
      <sheetName val="Fluxo de Caixa"/>
      <sheetName val="Indicadores de rentabilidade"/>
    </sheetNames>
    <sheetDataSet>
      <sheetData sheetId="0" refreshError="1"/>
      <sheetData sheetId="1" refreshError="1">
        <row r="28">
          <cell r="C28">
            <v>0.76045800000000008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opLeftCell="A69" zoomScale="125" workbookViewId="0">
      <selection activeCell="B69" sqref="B69"/>
    </sheetView>
  </sheetViews>
  <sheetFormatPr baseColWidth="10" defaultColWidth="8.83203125" defaultRowHeight="15"/>
  <cols>
    <col min="1" max="1" width="10.1640625" customWidth="1"/>
    <col min="2" max="2" width="40" customWidth="1"/>
    <col min="3" max="3" width="9" customWidth="1"/>
    <col min="4" max="4" width="13" customWidth="1"/>
    <col min="5" max="5" width="15.1640625" bestFit="1" customWidth="1"/>
    <col min="6" max="6" width="15.6640625" bestFit="1" customWidth="1"/>
    <col min="8" max="8" width="16" bestFit="1" customWidth="1"/>
    <col min="9" max="9" width="14.6640625" bestFit="1" customWidth="1"/>
  </cols>
  <sheetData>
    <row r="1" spans="1:11" ht="16" thickBot="1">
      <c r="A1" s="164"/>
      <c r="B1" s="421" t="s">
        <v>0</v>
      </c>
      <c r="C1" s="422"/>
      <c r="D1" s="422"/>
      <c r="E1" s="422"/>
      <c r="F1" s="423"/>
      <c r="G1" s="164"/>
      <c r="H1" s="424" t="s">
        <v>763</v>
      </c>
      <c r="I1" s="425"/>
      <c r="J1" s="424" t="s">
        <v>764</v>
      </c>
      <c r="K1" s="425"/>
    </row>
    <row r="2" spans="1:11">
      <c r="A2" s="287"/>
      <c r="B2" s="287"/>
      <c r="C2" s="287"/>
      <c r="D2" s="287"/>
      <c r="E2" s="287"/>
      <c r="F2" s="287"/>
      <c r="G2" s="287"/>
      <c r="H2" s="400">
        <v>2019</v>
      </c>
      <c r="I2" s="401">
        <v>4.1399999999999999E-2</v>
      </c>
      <c r="J2" s="400">
        <v>2019</v>
      </c>
      <c r="K2" s="401">
        <v>4.3099999999999999E-2</v>
      </c>
    </row>
    <row r="3" spans="1:11">
      <c r="A3" s="287"/>
      <c r="B3" s="287"/>
      <c r="C3" s="287"/>
      <c r="D3" s="287"/>
      <c r="E3" s="287"/>
      <c r="F3" s="287"/>
      <c r="G3" s="287"/>
      <c r="H3" s="400">
        <v>2020</v>
      </c>
      <c r="I3" s="401">
        <v>8.2100000000000006E-2</v>
      </c>
      <c r="J3" s="400">
        <v>2020</v>
      </c>
      <c r="K3" s="401">
        <v>4.5199999999999997E-2</v>
      </c>
    </row>
    <row r="4" spans="1:11">
      <c r="A4" s="287"/>
      <c r="B4" s="287"/>
      <c r="C4" s="287"/>
      <c r="D4" s="287"/>
      <c r="E4" s="287"/>
      <c r="F4" s="287"/>
      <c r="G4" s="287"/>
      <c r="H4" s="400">
        <v>2021</v>
      </c>
      <c r="I4" s="401">
        <v>0.1384</v>
      </c>
      <c r="J4" s="400">
        <v>2021</v>
      </c>
      <c r="K4" s="401">
        <v>0.10059999999999999</v>
      </c>
    </row>
    <row r="5" spans="1:11" ht="16" thickBot="1">
      <c r="A5" s="288" t="s">
        <v>37</v>
      </c>
      <c r="B5" s="263" t="s">
        <v>242</v>
      </c>
      <c r="C5" s="263" t="s">
        <v>29</v>
      </c>
      <c r="D5" s="263" t="s">
        <v>39</v>
      </c>
      <c r="E5" s="263" t="s">
        <v>243</v>
      </c>
      <c r="F5" s="263" t="s">
        <v>244</v>
      </c>
      <c r="G5" s="289" t="s">
        <v>54</v>
      </c>
      <c r="H5" s="402">
        <v>44652</v>
      </c>
      <c r="I5" s="403">
        <v>2.93E-2</v>
      </c>
      <c r="J5" s="402">
        <v>44652</v>
      </c>
      <c r="K5" s="403">
        <v>4.2900000000000001E-2</v>
      </c>
    </row>
    <row r="6" spans="1:11" ht="16" thickBot="1">
      <c r="A6" s="290" t="s">
        <v>245</v>
      </c>
      <c r="B6" s="265" t="s">
        <v>246</v>
      </c>
      <c r="C6" s="261"/>
      <c r="D6" s="261"/>
      <c r="E6" s="261"/>
      <c r="F6" s="266">
        <f>F7+F17+F25+F43+F48+F51</f>
        <v>1150747.56</v>
      </c>
      <c r="G6" s="291">
        <f>SUM(G8:G55)</f>
        <v>3.2740585279598111E-2</v>
      </c>
      <c r="H6" s="404" t="s">
        <v>765</v>
      </c>
      <c r="I6" s="405">
        <f>SUM(I2:I5)</f>
        <v>0.29120000000000001</v>
      </c>
      <c r="J6" s="404" t="s">
        <v>765</v>
      </c>
      <c r="K6" s="405">
        <f>SUM(K2:K5)</f>
        <v>0.23179999999999998</v>
      </c>
    </row>
    <row r="7" spans="1:11">
      <c r="A7" s="290" t="s">
        <v>41</v>
      </c>
      <c r="B7" s="265" t="s">
        <v>247</v>
      </c>
      <c r="C7" s="261"/>
      <c r="D7" s="261"/>
      <c r="E7" s="261"/>
      <c r="F7" s="266">
        <f>SUM(F8:F15)</f>
        <v>151757.76000000001</v>
      </c>
      <c r="G7" s="291"/>
    </row>
    <row r="8" spans="1:11">
      <c r="A8" s="292" t="s">
        <v>248</v>
      </c>
      <c r="B8" s="261" t="s">
        <v>249</v>
      </c>
      <c r="C8" s="268" t="s">
        <v>250</v>
      </c>
      <c r="D8" s="269">
        <v>400000</v>
      </c>
      <c r="E8" s="270">
        <v>0.15</v>
      </c>
      <c r="F8" s="270">
        <f>(D8*E8)*1.2318</f>
        <v>73908</v>
      </c>
      <c r="G8" s="294">
        <f t="shared" ref="G8:G15" si="0">F8/$F$136</f>
        <v>2.1027993114706564E-3</v>
      </c>
    </row>
    <row r="9" spans="1:11">
      <c r="A9" s="292" t="s">
        <v>251</v>
      </c>
      <c r="B9" s="261" t="s">
        <v>1</v>
      </c>
      <c r="C9" s="268" t="s">
        <v>252</v>
      </c>
      <c r="D9" s="269">
        <v>800</v>
      </c>
      <c r="E9" s="270">
        <v>16.5</v>
      </c>
      <c r="F9" s="270">
        <f t="shared" ref="F9:F15" si="1">(D9*E9)*1.2318</f>
        <v>16259.76</v>
      </c>
      <c r="G9" s="294">
        <f t="shared" si="0"/>
        <v>4.6261584852354444E-4</v>
      </c>
    </row>
    <row r="10" spans="1:11">
      <c r="A10" s="292" t="s">
        <v>253</v>
      </c>
      <c r="B10" s="261" t="s">
        <v>254</v>
      </c>
      <c r="C10" s="268" t="s">
        <v>250</v>
      </c>
      <c r="D10" s="269">
        <v>400000</v>
      </c>
      <c r="E10" s="270">
        <v>1.4999999999999999E-2</v>
      </c>
      <c r="F10" s="270">
        <f t="shared" si="1"/>
        <v>7390.8</v>
      </c>
      <c r="G10" s="294">
        <f t="shared" si="0"/>
        <v>2.1027993114706566E-4</v>
      </c>
    </row>
    <row r="11" spans="1:11">
      <c r="A11" s="292" t="s">
        <v>255</v>
      </c>
      <c r="B11" s="261" t="s">
        <v>256</v>
      </c>
      <c r="C11" s="268" t="s">
        <v>257</v>
      </c>
      <c r="D11" s="269">
        <v>1</v>
      </c>
      <c r="E11" s="270">
        <v>4000</v>
      </c>
      <c r="F11" s="270">
        <f t="shared" si="1"/>
        <v>4927.2</v>
      </c>
      <c r="G11" s="294">
        <f t="shared" si="0"/>
        <v>1.4018662076471043E-4</v>
      </c>
    </row>
    <row r="12" spans="1:11">
      <c r="A12" s="292" t="s">
        <v>258</v>
      </c>
      <c r="B12" s="261" t="s">
        <v>259</v>
      </c>
      <c r="C12" s="268" t="s">
        <v>257</v>
      </c>
      <c r="D12" s="269">
        <v>1</v>
      </c>
      <c r="E12" s="270">
        <v>2500</v>
      </c>
      <c r="F12" s="270">
        <f t="shared" si="1"/>
        <v>3079.5</v>
      </c>
      <c r="G12" s="294">
        <f t="shared" si="0"/>
        <v>8.7616637977944016E-5</v>
      </c>
    </row>
    <row r="13" spans="1:11">
      <c r="A13" s="292" t="s">
        <v>260</v>
      </c>
      <c r="B13" s="261" t="s">
        <v>261</v>
      </c>
      <c r="C13" s="268" t="s">
        <v>257</v>
      </c>
      <c r="D13" s="269">
        <v>1</v>
      </c>
      <c r="E13" s="270">
        <v>2500</v>
      </c>
      <c r="F13" s="270">
        <f t="shared" si="1"/>
        <v>3079.5</v>
      </c>
      <c r="G13" s="294">
        <f t="shared" si="0"/>
        <v>8.7616637977944016E-5</v>
      </c>
    </row>
    <row r="14" spans="1:11">
      <c r="A14" s="292" t="s">
        <v>262</v>
      </c>
      <c r="B14" s="261" t="s">
        <v>263</v>
      </c>
      <c r="C14" s="268" t="s">
        <v>257</v>
      </c>
      <c r="D14" s="269">
        <v>1</v>
      </c>
      <c r="E14" s="270">
        <v>5000</v>
      </c>
      <c r="F14" s="270">
        <f t="shared" si="1"/>
        <v>6159</v>
      </c>
      <c r="G14" s="294">
        <f t="shared" si="0"/>
        <v>1.7523327595588803E-4</v>
      </c>
    </row>
    <row r="15" spans="1:11">
      <c r="A15" s="292" t="s">
        <v>264</v>
      </c>
      <c r="B15" s="261" t="s">
        <v>25</v>
      </c>
      <c r="C15" s="268" t="s">
        <v>257</v>
      </c>
      <c r="D15" s="269">
        <v>1</v>
      </c>
      <c r="E15" s="270">
        <v>30000</v>
      </c>
      <c r="F15" s="270">
        <f t="shared" si="1"/>
        <v>36954</v>
      </c>
      <c r="G15" s="294">
        <f t="shared" si="0"/>
        <v>1.0513996557353282E-3</v>
      </c>
    </row>
    <row r="16" spans="1:11">
      <c r="A16" s="292"/>
      <c r="B16" s="261"/>
      <c r="C16" s="268"/>
      <c r="D16" s="269"/>
      <c r="E16" s="412"/>
      <c r="F16" s="272"/>
      <c r="G16" s="294"/>
    </row>
    <row r="17" spans="1:7">
      <c r="A17" s="290" t="s">
        <v>44</v>
      </c>
      <c r="B17" s="265" t="s">
        <v>265</v>
      </c>
      <c r="C17" s="268"/>
      <c r="D17" s="269"/>
      <c r="E17" s="270"/>
      <c r="F17" s="266">
        <f>SUM(F18:F23)</f>
        <v>107166.60000000002</v>
      </c>
      <c r="G17" s="294"/>
    </row>
    <row r="18" spans="1:7">
      <c r="A18" s="292" t="s">
        <v>266</v>
      </c>
      <c r="B18" s="261" t="s">
        <v>767</v>
      </c>
      <c r="C18" s="268" t="s">
        <v>257</v>
      </c>
      <c r="D18" s="269">
        <v>1</v>
      </c>
      <c r="E18" s="270">
        <f>87000*0.1</f>
        <v>8700</v>
      </c>
      <c r="F18" s="270">
        <f t="shared" ref="F18:F23" si="2">(D18*E18)*1.2318</f>
        <v>10716.66</v>
      </c>
      <c r="G18" s="294">
        <f t="shared" ref="G18:G23" si="3">F18/$F$136</f>
        <v>3.0490590016324517E-4</v>
      </c>
    </row>
    <row r="19" spans="1:7">
      <c r="A19" s="292" t="s">
        <v>267</v>
      </c>
      <c r="B19" s="261" t="s">
        <v>268</v>
      </c>
      <c r="C19" s="268" t="s">
        <v>257</v>
      </c>
      <c r="D19" s="269">
        <v>1</v>
      </c>
      <c r="E19" s="270">
        <f>87000*0.15</f>
        <v>13050</v>
      </c>
      <c r="F19" s="270">
        <f t="shared" si="2"/>
        <v>16074.99</v>
      </c>
      <c r="G19" s="294">
        <f t="shared" si="3"/>
        <v>4.5735885024486778E-4</v>
      </c>
    </row>
    <row r="20" spans="1:7">
      <c r="A20" s="292" t="s">
        <v>269</v>
      </c>
      <c r="B20" s="261" t="s">
        <v>270</v>
      </c>
      <c r="C20" s="268" t="s">
        <v>257</v>
      </c>
      <c r="D20" s="269">
        <v>1</v>
      </c>
      <c r="E20" s="270">
        <f>87000*0.25</f>
        <v>21750</v>
      </c>
      <c r="F20" s="270">
        <f t="shared" si="2"/>
        <v>26791.65</v>
      </c>
      <c r="G20" s="294">
        <f t="shared" si="3"/>
        <v>7.6226475040811295E-4</v>
      </c>
    </row>
    <row r="21" spans="1:7">
      <c r="A21" s="292" t="s">
        <v>271</v>
      </c>
      <c r="B21" s="261" t="s">
        <v>272</v>
      </c>
      <c r="C21" s="268" t="s">
        <v>257</v>
      </c>
      <c r="D21" s="269">
        <v>1</v>
      </c>
      <c r="E21" s="270">
        <f>87000*0.25</f>
        <v>21750</v>
      </c>
      <c r="F21" s="270">
        <f t="shared" si="2"/>
        <v>26791.65</v>
      </c>
      <c r="G21" s="294">
        <f t="shared" si="3"/>
        <v>7.6226475040811295E-4</v>
      </c>
    </row>
    <row r="22" spans="1:7">
      <c r="A22" s="292" t="s">
        <v>273</v>
      </c>
      <c r="B22" s="261" t="s">
        <v>274</v>
      </c>
      <c r="C22" s="268" t="s">
        <v>257</v>
      </c>
      <c r="D22" s="269">
        <v>1</v>
      </c>
      <c r="E22" s="270">
        <f>87000*0.15</f>
        <v>13050</v>
      </c>
      <c r="F22" s="270">
        <f t="shared" si="2"/>
        <v>16074.99</v>
      </c>
      <c r="G22" s="294">
        <f t="shared" si="3"/>
        <v>4.5735885024486778E-4</v>
      </c>
    </row>
    <row r="23" spans="1:7">
      <c r="A23" s="292" t="s">
        <v>275</v>
      </c>
      <c r="B23" s="261" t="s">
        <v>276</v>
      </c>
      <c r="C23" s="268" t="s">
        <v>257</v>
      </c>
      <c r="D23" s="269">
        <v>1</v>
      </c>
      <c r="E23" s="270">
        <f>87000*0.1</f>
        <v>8700</v>
      </c>
      <c r="F23" s="270">
        <f t="shared" si="2"/>
        <v>10716.66</v>
      </c>
      <c r="G23" s="294">
        <f t="shared" si="3"/>
        <v>3.0490590016324517E-4</v>
      </c>
    </row>
    <row r="24" spans="1:7">
      <c r="A24" s="292"/>
      <c r="B24" s="261"/>
      <c r="C24" s="268"/>
      <c r="D24" s="269"/>
      <c r="E24" s="270"/>
      <c r="F24" s="272"/>
      <c r="G24" s="294"/>
    </row>
    <row r="25" spans="1:7">
      <c r="A25" s="290" t="s">
        <v>128</v>
      </c>
      <c r="B25" s="265" t="s">
        <v>277</v>
      </c>
      <c r="C25" s="268"/>
      <c r="D25" s="269"/>
      <c r="E25" s="270"/>
      <c r="F25" s="266">
        <f>SUM(F26:F41)</f>
        <v>110862.00000000003</v>
      </c>
      <c r="G25" s="294"/>
    </row>
    <row r="26" spans="1:7">
      <c r="A26" s="292" t="s">
        <v>278</v>
      </c>
      <c r="B26" s="261" t="s">
        <v>279</v>
      </c>
      <c r="C26" s="268" t="s">
        <v>257</v>
      </c>
      <c r="D26" s="269">
        <v>1</v>
      </c>
      <c r="E26" s="270">
        <f>90000*0.05</f>
        <v>4500</v>
      </c>
      <c r="F26" s="270">
        <f t="shared" ref="F26:F41" si="4">(D26*E26)*1.2318</f>
        <v>5543.1</v>
      </c>
      <c r="G26" s="294">
        <f t="shared" ref="G26:G41" si="5">F26/$F$136</f>
        <v>1.5770994836029924E-4</v>
      </c>
    </row>
    <row r="27" spans="1:7">
      <c r="A27" s="292" t="s">
        <v>280</v>
      </c>
      <c r="B27" s="261" t="s">
        <v>281</v>
      </c>
      <c r="C27" s="268" t="s">
        <v>257</v>
      </c>
      <c r="D27" s="269">
        <v>1</v>
      </c>
      <c r="E27" s="270">
        <f>90000*0.1</f>
        <v>9000</v>
      </c>
      <c r="F27" s="270">
        <f t="shared" si="4"/>
        <v>11086.2</v>
      </c>
      <c r="G27" s="294">
        <f t="shared" si="5"/>
        <v>3.1541989672059849E-4</v>
      </c>
    </row>
    <row r="28" spans="1:7">
      <c r="A28" s="292" t="s">
        <v>282</v>
      </c>
      <c r="B28" s="261" t="s">
        <v>283</v>
      </c>
      <c r="C28" s="268" t="s">
        <v>257</v>
      </c>
      <c r="D28" s="269">
        <v>1</v>
      </c>
      <c r="E28" s="270">
        <f>90000*0.1</f>
        <v>9000</v>
      </c>
      <c r="F28" s="270">
        <f t="shared" si="4"/>
        <v>11086.2</v>
      </c>
      <c r="G28" s="294">
        <f t="shared" si="5"/>
        <v>3.1541989672059849E-4</v>
      </c>
    </row>
    <row r="29" spans="1:7">
      <c r="A29" s="292" t="s">
        <v>284</v>
      </c>
      <c r="B29" s="261" t="s">
        <v>285</v>
      </c>
      <c r="C29" s="268" t="s">
        <v>257</v>
      </c>
      <c r="D29" s="269">
        <v>1</v>
      </c>
      <c r="E29" s="270">
        <f>90000*0.05</f>
        <v>4500</v>
      </c>
      <c r="F29" s="270">
        <f t="shared" si="4"/>
        <v>5543.1</v>
      </c>
      <c r="G29" s="294">
        <f t="shared" si="5"/>
        <v>1.5770994836029924E-4</v>
      </c>
    </row>
    <row r="30" spans="1:7">
      <c r="A30" s="292" t="s">
        <v>286</v>
      </c>
      <c r="B30" s="261" t="s">
        <v>287</v>
      </c>
      <c r="C30" s="268" t="s">
        <v>257</v>
      </c>
      <c r="D30" s="269">
        <v>1</v>
      </c>
      <c r="E30" s="270">
        <f>90000*0.05</f>
        <v>4500</v>
      </c>
      <c r="F30" s="270">
        <f t="shared" si="4"/>
        <v>5543.1</v>
      </c>
      <c r="G30" s="294">
        <f t="shared" si="5"/>
        <v>1.5770994836029924E-4</v>
      </c>
    </row>
    <row r="31" spans="1:7">
      <c r="A31" s="292" t="s">
        <v>288</v>
      </c>
      <c r="B31" s="261" t="s">
        <v>289</v>
      </c>
      <c r="C31" s="268" t="s">
        <v>257</v>
      </c>
      <c r="D31" s="269">
        <v>1</v>
      </c>
      <c r="E31" s="270">
        <f>90000*0.05</f>
        <v>4500</v>
      </c>
      <c r="F31" s="270">
        <f t="shared" si="4"/>
        <v>5543.1</v>
      </c>
      <c r="G31" s="294">
        <f t="shared" si="5"/>
        <v>1.5770994836029924E-4</v>
      </c>
    </row>
    <row r="32" spans="1:7">
      <c r="A32" s="292" t="s">
        <v>290</v>
      </c>
      <c r="B32" s="261" t="s">
        <v>291</v>
      </c>
      <c r="C32" s="268" t="s">
        <v>257</v>
      </c>
      <c r="D32" s="269">
        <v>1</v>
      </c>
      <c r="E32" s="270">
        <f>90000*0.1</f>
        <v>9000</v>
      </c>
      <c r="F32" s="270">
        <f t="shared" si="4"/>
        <v>11086.2</v>
      </c>
      <c r="G32" s="294">
        <f t="shared" si="5"/>
        <v>3.1541989672059849E-4</v>
      </c>
    </row>
    <row r="33" spans="1:7">
      <c r="A33" s="292" t="s">
        <v>292</v>
      </c>
      <c r="B33" s="261" t="s">
        <v>293</v>
      </c>
      <c r="C33" s="268" t="s">
        <v>257</v>
      </c>
      <c r="D33" s="269">
        <v>1</v>
      </c>
      <c r="E33" s="270">
        <f>90000*0.05</f>
        <v>4500</v>
      </c>
      <c r="F33" s="270">
        <f t="shared" si="4"/>
        <v>5543.1</v>
      </c>
      <c r="G33" s="294">
        <f t="shared" si="5"/>
        <v>1.5770994836029924E-4</v>
      </c>
    </row>
    <row r="34" spans="1:7">
      <c r="A34" s="292" t="s">
        <v>294</v>
      </c>
      <c r="B34" s="261" t="s">
        <v>295</v>
      </c>
      <c r="C34" s="268" t="s">
        <v>257</v>
      </c>
      <c r="D34" s="269">
        <v>1</v>
      </c>
      <c r="E34" s="270">
        <f>90000*0.1</f>
        <v>9000</v>
      </c>
      <c r="F34" s="270">
        <f t="shared" si="4"/>
        <v>11086.2</v>
      </c>
      <c r="G34" s="294">
        <f t="shared" si="5"/>
        <v>3.1541989672059849E-4</v>
      </c>
    </row>
    <row r="35" spans="1:7">
      <c r="A35" s="292" t="s">
        <v>296</v>
      </c>
      <c r="B35" s="261" t="s">
        <v>297</v>
      </c>
      <c r="C35" s="268" t="s">
        <v>257</v>
      </c>
      <c r="D35" s="269">
        <v>1</v>
      </c>
      <c r="E35" s="270">
        <f>90000*0.1</f>
        <v>9000</v>
      </c>
      <c r="F35" s="270">
        <f t="shared" si="4"/>
        <v>11086.2</v>
      </c>
      <c r="G35" s="294">
        <f t="shared" si="5"/>
        <v>3.1541989672059849E-4</v>
      </c>
    </row>
    <row r="36" spans="1:7">
      <c r="A36" s="292" t="s">
        <v>298</v>
      </c>
      <c r="B36" s="261" t="s">
        <v>299</v>
      </c>
      <c r="C36" s="268" t="s">
        <v>257</v>
      </c>
      <c r="D36" s="269">
        <v>1</v>
      </c>
      <c r="E36" s="270">
        <f>90000*0.05</f>
        <v>4500</v>
      </c>
      <c r="F36" s="270">
        <f t="shared" si="4"/>
        <v>5543.1</v>
      </c>
      <c r="G36" s="294">
        <f t="shared" si="5"/>
        <v>1.5770994836029924E-4</v>
      </c>
    </row>
    <row r="37" spans="1:7">
      <c r="A37" s="292" t="s">
        <v>300</v>
      </c>
      <c r="B37" s="261" t="s">
        <v>301</v>
      </c>
      <c r="C37" s="268" t="s">
        <v>257</v>
      </c>
      <c r="D37" s="269">
        <v>1</v>
      </c>
      <c r="E37" s="270">
        <f>90000*0.05</f>
        <v>4500</v>
      </c>
      <c r="F37" s="270">
        <f t="shared" si="4"/>
        <v>5543.1</v>
      </c>
      <c r="G37" s="294">
        <f t="shared" si="5"/>
        <v>1.5770994836029924E-4</v>
      </c>
    </row>
    <row r="38" spans="1:7">
      <c r="A38" s="292" t="s">
        <v>302</v>
      </c>
      <c r="B38" s="261" t="s">
        <v>303</v>
      </c>
      <c r="C38" s="268" t="s">
        <v>257</v>
      </c>
      <c r="D38" s="269">
        <v>1</v>
      </c>
      <c r="E38" s="270">
        <f>90000*0.05</f>
        <v>4500</v>
      </c>
      <c r="F38" s="270">
        <f t="shared" si="4"/>
        <v>5543.1</v>
      </c>
      <c r="G38" s="294">
        <f t="shared" si="5"/>
        <v>1.5770994836029924E-4</v>
      </c>
    </row>
    <row r="39" spans="1:7">
      <c r="A39" s="292" t="s">
        <v>304</v>
      </c>
      <c r="B39" s="261" t="s">
        <v>305</v>
      </c>
      <c r="C39" s="268" t="s">
        <v>257</v>
      </c>
      <c r="D39" s="269">
        <v>1</v>
      </c>
      <c r="E39" s="270">
        <f>90000*0.05</f>
        <v>4500</v>
      </c>
      <c r="F39" s="270">
        <f t="shared" si="4"/>
        <v>5543.1</v>
      </c>
      <c r="G39" s="294">
        <f t="shared" si="5"/>
        <v>1.5770994836029924E-4</v>
      </c>
    </row>
    <row r="40" spans="1:7">
      <c r="A40" s="292" t="s">
        <v>306</v>
      </c>
      <c r="B40" s="261" t="s">
        <v>307</v>
      </c>
      <c r="C40" s="268" t="s">
        <v>257</v>
      </c>
      <c r="D40" s="269">
        <v>1</v>
      </c>
      <c r="E40" s="270">
        <f>90000*0.025</f>
        <v>2250</v>
      </c>
      <c r="F40" s="270">
        <f t="shared" si="4"/>
        <v>2771.55</v>
      </c>
      <c r="G40" s="294">
        <f t="shared" si="5"/>
        <v>7.8854974180149622E-5</v>
      </c>
    </row>
    <row r="41" spans="1:7">
      <c r="A41" s="292" t="s">
        <v>308</v>
      </c>
      <c r="B41" s="261" t="s">
        <v>309</v>
      </c>
      <c r="C41" s="268" t="s">
        <v>257</v>
      </c>
      <c r="D41" s="269">
        <v>1</v>
      </c>
      <c r="E41" s="270">
        <f>90000*0.025</f>
        <v>2250</v>
      </c>
      <c r="F41" s="270">
        <f t="shared" si="4"/>
        <v>2771.55</v>
      </c>
      <c r="G41" s="294">
        <f t="shared" si="5"/>
        <v>7.8854974180149622E-5</v>
      </c>
    </row>
    <row r="42" spans="1:7">
      <c r="A42" s="292"/>
      <c r="B42" s="261"/>
      <c r="C42" s="268"/>
      <c r="D42" s="269"/>
      <c r="E42" s="270"/>
      <c r="F42" s="270"/>
      <c r="G42" s="294"/>
    </row>
    <row r="43" spans="1:7">
      <c r="A43" s="290" t="s">
        <v>310</v>
      </c>
      <c r="B43" s="265" t="s">
        <v>311</v>
      </c>
      <c r="C43" s="268"/>
      <c r="D43" s="269"/>
      <c r="E43" s="270"/>
      <c r="F43" s="266">
        <f>SUM(F44:F46)</f>
        <v>66517.2</v>
      </c>
      <c r="G43" s="294"/>
    </row>
    <row r="44" spans="1:7">
      <c r="A44" s="292" t="s">
        <v>312</v>
      </c>
      <c r="B44" s="261" t="s">
        <v>313</v>
      </c>
      <c r="C44" s="268" t="s">
        <v>257</v>
      </c>
      <c r="D44" s="269">
        <v>2</v>
      </c>
      <c r="E44" s="270">
        <v>8000</v>
      </c>
      <c r="F44" s="270">
        <f t="shared" ref="F44:F46" si="6">(D44*E44)*1.2318</f>
        <v>19708.8</v>
      </c>
      <c r="G44" s="294">
        <f>F44/$F$136</f>
        <v>5.6074648305884172E-4</v>
      </c>
    </row>
    <row r="45" spans="1:7">
      <c r="A45" s="292" t="s">
        <v>314</v>
      </c>
      <c r="B45" s="261" t="s">
        <v>315</v>
      </c>
      <c r="C45" s="268" t="s">
        <v>257</v>
      </c>
      <c r="D45" s="269">
        <v>2</v>
      </c>
      <c r="E45" s="270">
        <v>9500</v>
      </c>
      <c r="F45" s="270">
        <f t="shared" si="6"/>
        <v>23404.2</v>
      </c>
      <c r="G45" s="294">
        <f>F45/$F$136</f>
        <v>6.658864486323746E-4</v>
      </c>
    </row>
    <row r="46" spans="1:7">
      <c r="A46" s="292" t="s">
        <v>316</v>
      </c>
      <c r="B46" s="261" t="s">
        <v>317</v>
      </c>
      <c r="C46" s="268" t="s">
        <v>257</v>
      </c>
      <c r="D46" s="269">
        <v>2</v>
      </c>
      <c r="E46" s="270">
        <v>9500</v>
      </c>
      <c r="F46" s="270">
        <f t="shared" si="6"/>
        <v>23404.2</v>
      </c>
      <c r="G46" s="294">
        <f>F46/$F$136</f>
        <v>6.658864486323746E-4</v>
      </c>
    </row>
    <row r="47" spans="1:7">
      <c r="A47" s="292"/>
      <c r="B47" s="261"/>
      <c r="C47" s="268"/>
      <c r="D47" s="269"/>
      <c r="E47" s="270"/>
      <c r="F47" s="270"/>
      <c r="G47" s="294"/>
    </row>
    <row r="48" spans="1:7">
      <c r="A48" s="290" t="s">
        <v>318</v>
      </c>
      <c r="B48" s="265" t="s">
        <v>319</v>
      </c>
      <c r="C48" s="268"/>
      <c r="D48" s="269"/>
      <c r="E48" s="274"/>
      <c r="F48" s="266">
        <f>SUM(F49)</f>
        <v>270996</v>
      </c>
      <c r="G48" s="294"/>
    </row>
    <row r="49" spans="1:7" s="10" customFormat="1">
      <c r="A49" s="409" t="s">
        <v>320</v>
      </c>
      <c r="B49" s="261" t="s">
        <v>321</v>
      </c>
      <c r="C49" s="268" t="s">
        <v>757</v>
      </c>
      <c r="D49" s="269">
        <v>110</v>
      </c>
      <c r="E49" s="270">
        <v>2000</v>
      </c>
      <c r="F49" s="270">
        <f t="shared" ref="F49" si="7">(D49*E49)*1.2318</f>
        <v>270996</v>
      </c>
      <c r="G49" s="410">
        <f>F49/$F$136</f>
        <v>7.7102641420590734E-3</v>
      </c>
    </row>
    <row r="50" spans="1:7">
      <c r="A50" s="292"/>
      <c r="B50" s="261"/>
      <c r="C50" s="268"/>
      <c r="D50" s="269"/>
      <c r="E50" s="270"/>
      <c r="F50" s="270"/>
      <c r="G50" s="294"/>
    </row>
    <row r="51" spans="1:7">
      <c r="A51" s="290" t="s">
        <v>368</v>
      </c>
      <c r="B51" s="265" t="s">
        <v>369</v>
      </c>
      <c r="C51" s="268"/>
      <c r="D51" s="269"/>
      <c r="E51" s="274"/>
      <c r="F51" s="266">
        <f>SUM(F52:F55)</f>
        <v>443448</v>
      </c>
      <c r="G51" s="294"/>
    </row>
    <row r="52" spans="1:7" ht="24">
      <c r="A52" s="292" t="s">
        <v>370</v>
      </c>
      <c r="B52" s="413" t="s">
        <v>371</v>
      </c>
      <c r="C52" s="268" t="s">
        <v>257</v>
      </c>
      <c r="D52" s="269">
        <v>1</v>
      </c>
      <c r="E52" s="270">
        <v>30000</v>
      </c>
      <c r="F52" s="270">
        <f t="shared" ref="F52:F55" si="8">(D52*E52)*1.2318</f>
        <v>36954</v>
      </c>
      <c r="G52" s="294">
        <f>F52/$F$136</f>
        <v>1.0513996557353282E-3</v>
      </c>
    </row>
    <row r="53" spans="1:7" ht="36">
      <c r="A53" s="292" t="s">
        <v>372</v>
      </c>
      <c r="B53" s="413" t="s">
        <v>373</v>
      </c>
      <c r="C53" s="268" t="s">
        <v>257</v>
      </c>
      <c r="D53" s="269">
        <v>1</v>
      </c>
      <c r="E53" s="270">
        <v>100000</v>
      </c>
      <c r="F53" s="270">
        <f t="shared" si="8"/>
        <v>123180</v>
      </c>
      <c r="G53" s="294">
        <f>F53/$F$136</f>
        <v>3.5046655191177606E-3</v>
      </c>
    </row>
    <row r="54" spans="1:7">
      <c r="A54" s="292" t="s">
        <v>374</v>
      </c>
      <c r="B54" s="261" t="s">
        <v>375</v>
      </c>
      <c r="C54" s="268" t="s">
        <v>257</v>
      </c>
      <c r="D54" s="269">
        <v>1</v>
      </c>
      <c r="E54" s="270">
        <v>120000</v>
      </c>
      <c r="F54" s="270">
        <f t="shared" si="8"/>
        <v>147816</v>
      </c>
      <c r="G54" s="294">
        <f>F54/$F$136</f>
        <v>4.2055986229413127E-3</v>
      </c>
    </row>
    <row r="55" spans="1:7">
      <c r="A55" s="292" t="s">
        <v>376</v>
      </c>
      <c r="B55" s="261" t="s">
        <v>377</v>
      </c>
      <c r="C55" s="268" t="s">
        <v>257</v>
      </c>
      <c r="D55" s="269">
        <v>1</v>
      </c>
      <c r="E55" s="270">
        <v>110000</v>
      </c>
      <c r="F55" s="270">
        <f t="shared" si="8"/>
        <v>135498</v>
      </c>
      <c r="G55" s="294">
        <f>F55/$F$136</f>
        <v>3.8551320710295367E-3</v>
      </c>
    </row>
    <row r="56" spans="1:7">
      <c r="A56" s="292"/>
      <c r="B56" s="261"/>
      <c r="C56" s="263" t="s">
        <v>29</v>
      </c>
      <c r="D56" s="263" t="s">
        <v>39</v>
      </c>
      <c r="E56" s="263" t="s">
        <v>243</v>
      </c>
      <c r="F56" s="263" t="s">
        <v>244</v>
      </c>
      <c r="G56" s="294"/>
    </row>
    <row r="57" spans="1:7">
      <c r="B57" s="280" t="s">
        <v>323</v>
      </c>
      <c r="C57" s="268"/>
      <c r="D57" s="269"/>
      <c r="E57" s="275"/>
      <c r="F57" s="266">
        <f>F58+F80+F126+F130</f>
        <v>33833010.704790398</v>
      </c>
      <c r="G57" s="291"/>
    </row>
    <row r="58" spans="1:7">
      <c r="A58" s="290" t="s">
        <v>322</v>
      </c>
      <c r="B58" s="265" t="s">
        <v>325</v>
      </c>
      <c r="C58" s="268"/>
      <c r="D58" s="269"/>
      <c r="E58" s="275"/>
      <c r="F58" s="266">
        <f>SUM(F59:F78)</f>
        <v>10873256.756777259</v>
      </c>
      <c r="G58" s="291">
        <f>F58/$F$136</f>
        <v>0.3093613251825903</v>
      </c>
    </row>
    <row r="59" spans="1:7">
      <c r="A59" s="292" t="s">
        <v>324</v>
      </c>
      <c r="B59" s="261" t="s">
        <v>326</v>
      </c>
      <c r="C59" s="268" t="s">
        <v>250</v>
      </c>
      <c r="D59" s="269">
        <f>(120000-19370)*2</f>
        <v>201260</v>
      </c>
      <c r="E59" s="270">
        <v>0.51</v>
      </c>
      <c r="F59" s="270">
        <f>(D59*E59)*1.2912</f>
        <v>132532.12512000001</v>
      </c>
      <c r="G59" s="294">
        <f t="shared" ref="G59:G80" si="9">F59/$F$136</f>
        <v>3.7707482471461672E-3</v>
      </c>
    </row>
    <row r="60" spans="1:7">
      <c r="A60" s="292" t="s">
        <v>386</v>
      </c>
      <c r="B60" s="261" t="s">
        <v>382</v>
      </c>
      <c r="C60" s="268" t="s">
        <v>250</v>
      </c>
      <c r="D60" s="269">
        <f>D69+D70+D71+D73+D74+D75+D76+D77</f>
        <v>24603.5</v>
      </c>
      <c r="E60" s="270">
        <v>4.62</v>
      </c>
      <c r="F60" s="270">
        <f t="shared" ref="F60:F78" si="10">(D60*E60)*1.2912</f>
        <v>146768.34110399999</v>
      </c>
      <c r="G60" s="294">
        <f t="shared" si="9"/>
        <v>4.1757910729444932E-3</v>
      </c>
    </row>
    <row r="61" spans="1:7">
      <c r="A61" s="292" t="s">
        <v>387</v>
      </c>
      <c r="B61" s="261" t="s">
        <v>327</v>
      </c>
      <c r="C61" s="268" t="s">
        <v>250</v>
      </c>
      <c r="D61" s="269">
        <f>40661*2</f>
        <v>81322</v>
      </c>
      <c r="E61" s="270">
        <v>1.23</v>
      </c>
      <c r="F61" s="270">
        <f t="shared" si="10"/>
        <v>129153.64867199998</v>
      </c>
      <c r="G61" s="294">
        <f t="shared" si="9"/>
        <v>3.6746252570953701E-3</v>
      </c>
    </row>
    <row r="62" spans="1:7">
      <c r="A62" s="292" t="s">
        <v>388</v>
      </c>
      <c r="B62" s="261" t="s">
        <v>328</v>
      </c>
      <c r="C62" s="268" t="s">
        <v>252</v>
      </c>
      <c r="D62" s="269">
        <f>2*400*2</f>
        <v>1600</v>
      </c>
      <c r="E62" s="270">
        <v>116.67</v>
      </c>
      <c r="F62" s="270">
        <f t="shared" si="10"/>
        <v>241030.88639999999</v>
      </c>
      <c r="G62" s="294">
        <f t="shared" si="9"/>
        <v>6.8577093408708394E-3</v>
      </c>
    </row>
    <row r="63" spans="1:7">
      <c r="A63" s="292" t="s">
        <v>389</v>
      </c>
      <c r="B63" s="261" t="s">
        <v>329</v>
      </c>
      <c r="C63" s="268" t="s">
        <v>252</v>
      </c>
      <c r="D63" s="269">
        <f>2*120*2</f>
        <v>480</v>
      </c>
      <c r="E63" s="270">
        <v>205.43</v>
      </c>
      <c r="F63" s="270">
        <f t="shared" si="10"/>
        <v>127320.58368</v>
      </c>
      <c r="G63" s="294">
        <f t="shared" si="9"/>
        <v>3.6224716633970083E-3</v>
      </c>
    </row>
    <row r="64" spans="1:7">
      <c r="A64" s="292" t="s">
        <v>390</v>
      </c>
      <c r="B64" s="261" t="s">
        <v>330</v>
      </c>
      <c r="C64" s="268" t="s">
        <v>252</v>
      </c>
      <c r="D64" s="269">
        <f>2*120</f>
        <v>240</v>
      </c>
      <c r="E64" s="270">
        <v>132.72</v>
      </c>
      <c r="F64" s="270">
        <f t="shared" si="10"/>
        <v>41128.335359999997</v>
      </c>
      <c r="G64" s="294">
        <f t="shared" si="9"/>
        <v>1.1701660886093825E-3</v>
      </c>
    </row>
    <row r="65" spans="1:7">
      <c r="A65" s="292" t="s">
        <v>588</v>
      </c>
      <c r="B65" s="261" t="s">
        <v>332</v>
      </c>
      <c r="C65" s="268" t="s">
        <v>257</v>
      </c>
      <c r="D65" s="269">
        <f>12*5*2</f>
        <v>120</v>
      </c>
      <c r="E65" s="270">
        <v>1350.21</v>
      </c>
      <c r="F65" s="270">
        <f t="shared" si="10"/>
        <v>209206.93823999999</v>
      </c>
      <c r="G65" s="294">
        <f t="shared" si="9"/>
        <v>5.9522677610807503E-3</v>
      </c>
    </row>
    <row r="66" spans="1:7">
      <c r="A66" s="292" t="s">
        <v>589</v>
      </c>
      <c r="B66" s="261" t="s">
        <v>3</v>
      </c>
      <c r="C66" s="268" t="s">
        <v>257</v>
      </c>
      <c r="D66" s="269">
        <v>2</v>
      </c>
      <c r="E66" s="270">
        <v>35000</v>
      </c>
      <c r="F66" s="270">
        <f t="shared" si="10"/>
        <v>90384</v>
      </c>
      <c r="G66" s="294">
        <f t="shared" si="9"/>
        <v>2.57156752946858E-3</v>
      </c>
    </row>
    <row r="67" spans="1:7">
      <c r="A67" s="292" t="s">
        <v>691</v>
      </c>
      <c r="B67" s="261" t="s">
        <v>333</v>
      </c>
      <c r="C67" s="268" t="s">
        <v>334</v>
      </c>
      <c r="D67" s="269">
        <f>50*30*3*2</f>
        <v>9000</v>
      </c>
      <c r="E67" s="270">
        <f>700000/D67</f>
        <v>77.777777777777771</v>
      </c>
      <c r="F67" s="270">
        <f t="shared" si="10"/>
        <v>903839.99999999988</v>
      </c>
      <c r="G67" s="294">
        <f t="shared" si="9"/>
        <v>2.5715675294685797E-2</v>
      </c>
    </row>
    <row r="68" spans="1:7">
      <c r="A68" s="292" t="s">
        <v>692</v>
      </c>
      <c r="B68" s="261" t="s">
        <v>2</v>
      </c>
      <c r="C68" s="268" t="s">
        <v>252</v>
      </c>
      <c r="D68" s="269">
        <f>(500+400)*2*2</f>
        <v>3600</v>
      </c>
      <c r="E68" s="270">
        <v>43</v>
      </c>
      <c r="F68" s="270">
        <f t="shared" si="10"/>
        <v>199877.75999999998</v>
      </c>
      <c r="G68" s="294">
        <f t="shared" si="9"/>
        <v>5.6868379080248022E-3</v>
      </c>
    </row>
    <row r="69" spans="1:7">
      <c r="A69" s="292" t="s">
        <v>693</v>
      </c>
      <c r="B69" s="261" t="s">
        <v>529</v>
      </c>
      <c r="C69" s="268" t="s">
        <v>250</v>
      </c>
      <c r="D69" s="269">
        <f>2*3000</f>
        <v>6000</v>
      </c>
      <c r="E69" s="270">
        <v>599.49</v>
      </c>
      <c r="F69" s="270">
        <f t="shared" si="10"/>
        <v>4644368.9279999994</v>
      </c>
      <c r="G69" s="294">
        <f t="shared" si="9"/>
        <v>0.13213963013495303</v>
      </c>
    </row>
    <row r="70" spans="1:7">
      <c r="A70" s="292" t="s">
        <v>694</v>
      </c>
      <c r="B70" s="413" t="s">
        <v>687</v>
      </c>
      <c r="C70" s="268" t="s">
        <v>250</v>
      </c>
      <c r="D70" s="269">
        <f>2*650</f>
        <v>1300</v>
      </c>
      <c r="E70" s="270">
        <f>250000/650</f>
        <v>384.61538461538464</v>
      </c>
      <c r="F70" s="270">
        <f t="shared" si="10"/>
        <v>645600</v>
      </c>
      <c r="G70" s="294">
        <f t="shared" si="9"/>
        <v>1.8368339496204141E-2</v>
      </c>
    </row>
    <row r="71" spans="1:7">
      <c r="A71" s="292" t="s">
        <v>695</v>
      </c>
      <c r="B71" s="413" t="s">
        <v>690</v>
      </c>
      <c r="C71" s="268" t="s">
        <v>252</v>
      </c>
      <c r="D71" s="269">
        <f>2*540</f>
        <v>1080</v>
      </c>
      <c r="E71" s="270">
        <f>120000/540</f>
        <v>222.22222222222223</v>
      </c>
      <c r="F71" s="270">
        <f t="shared" si="10"/>
        <v>309888</v>
      </c>
      <c r="G71" s="294">
        <f t="shared" si="9"/>
        <v>8.8168029581779887E-3</v>
      </c>
    </row>
    <row r="72" spans="1:7">
      <c r="A72" s="292" t="s">
        <v>696</v>
      </c>
      <c r="B72" s="261" t="s">
        <v>689</v>
      </c>
      <c r="C72" s="268" t="s">
        <v>250</v>
      </c>
      <c r="D72" s="269">
        <f>2*17500</f>
        <v>35000</v>
      </c>
      <c r="E72" s="270">
        <f>230000/17500</f>
        <v>13.142857142857142</v>
      </c>
      <c r="F72" s="270">
        <f t="shared" si="10"/>
        <v>593952</v>
      </c>
      <c r="G72" s="294">
        <f t="shared" si="9"/>
        <v>1.689887233650781E-2</v>
      </c>
    </row>
    <row r="73" spans="1:7">
      <c r="A73" s="292" t="s">
        <v>697</v>
      </c>
      <c r="B73" s="261" t="s">
        <v>335</v>
      </c>
      <c r="C73" s="268" t="s">
        <v>250</v>
      </c>
      <c r="D73" s="269">
        <f>2*361.75</f>
        <v>723.5</v>
      </c>
      <c r="E73" s="270">
        <v>1005.68</v>
      </c>
      <c r="F73" s="270">
        <f t="shared" si="10"/>
        <v>939489.36057599995</v>
      </c>
      <c r="G73" s="294">
        <f t="shared" si="9"/>
        <v>2.6729955898593116E-2</v>
      </c>
    </row>
    <row r="74" spans="1:7">
      <c r="A74" s="292" t="s">
        <v>698</v>
      </c>
      <c r="B74" s="261" t="s">
        <v>379</v>
      </c>
      <c r="C74" s="268" t="s">
        <v>250</v>
      </c>
      <c r="D74" s="269">
        <f>2*20</f>
        <v>40</v>
      </c>
      <c r="E74" s="270">
        <v>500</v>
      </c>
      <c r="F74" s="270">
        <f t="shared" si="10"/>
        <v>25823.999999999996</v>
      </c>
      <c r="G74" s="294">
        <f t="shared" si="9"/>
        <v>7.3473357984816558E-4</v>
      </c>
    </row>
    <row r="75" spans="1:7">
      <c r="A75" s="292" t="s">
        <v>699</v>
      </c>
      <c r="B75" s="261" t="s">
        <v>380</v>
      </c>
      <c r="C75" s="268" t="s">
        <v>250</v>
      </c>
      <c r="D75" s="269">
        <f>(150+30)*2</f>
        <v>360</v>
      </c>
      <c r="E75" s="270">
        <v>599.49</v>
      </c>
      <c r="F75" s="270">
        <f t="shared" si="10"/>
        <v>278662.13567999995</v>
      </c>
      <c r="G75" s="294">
        <f t="shared" si="9"/>
        <v>7.9283778080971815E-3</v>
      </c>
    </row>
    <row r="76" spans="1:7">
      <c r="A76" s="292" t="s">
        <v>700</v>
      </c>
      <c r="B76" s="261" t="s">
        <v>336</v>
      </c>
      <c r="C76" s="268" t="s">
        <v>250</v>
      </c>
      <c r="D76" s="269">
        <v>100</v>
      </c>
      <c r="E76" s="270">
        <v>1005.68</v>
      </c>
      <c r="F76" s="270">
        <f t="shared" si="10"/>
        <v>129853.4016</v>
      </c>
      <c r="G76" s="294">
        <f t="shared" si="9"/>
        <v>3.6945343329085165E-3</v>
      </c>
    </row>
    <row r="77" spans="1:7">
      <c r="A77" s="292" t="s">
        <v>701</v>
      </c>
      <c r="B77" s="261" t="s">
        <v>337</v>
      </c>
      <c r="C77" s="268" t="s">
        <v>250</v>
      </c>
      <c r="D77" s="269">
        <f>7500*2</f>
        <v>15000</v>
      </c>
      <c r="E77" s="270">
        <f>50.93</f>
        <v>50.93</v>
      </c>
      <c r="F77" s="270">
        <f t="shared" si="10"/>
        <v>986412.23999999987</v>
      </c>
      <c r="G77" s="294">
        <f t="shared" si="9"/>
        <v>2.8064985916250305E-2</v>
      </c>
    </row>
    <row r="78" spans="1:7">
      <c r="A78" s="292" t="s">
        <v>702</v>
      </c>
      <c r="B78" s="261" t="s">
        <v>4</v>
      </c>
      <c r="C78" s="268" t="s">
        <v>257</v>
      </c>
      <c r="D78" s="269">
        <f>2*6</f>
        <v>12</v>
      </c>
      <c r="E78" s="270">
        <f>[1]Pessoal!E15*3</f>
        <v>6322.5470069999992</v>
      </c>
      <c r="F78" s="270">
        <f t="shared" si="10"/>
        <v>97964.072345260778</v>
      </c>
      <c r="G78" s="294">
        <f t="shared" si="9"/>
        <v>2.7872325577268488E-3</v>
      </c>
    </row>
    <row r="79" spans="1:7">
      <c r="A79" s="292"/>
      <c r="B79" s="265"/>
      <c r="C79" s="264"/>
      <c r="D79" s="276"/>
      <c r="E79" s="276"/>
      <c r="F79" s="272"/>
      <c r="G79" s="7"/>
    </row>
    <row r="80" spans="1:7">
      <c r="A80" s="290" t="s">
        <v>338</v>
      </c>
      <c r="B80" s="265" t="s">
        <v>6</v>
      </c>
      <c r="C80" s="264"/>
      <c r="D80" s="276"/>
      <c r="E80" s="276">
        <v>0</v>
      </c>
      <c r="F80" s="266">
        <f>F81+F93+F102</f>
        <v>21246325.920000002</v>
      </c>
      <c r="G80" s="291">
        <f t="shared" si="9"/>
        <v>0.60449152345966828</v>
      </c>
    </row>
    <row r="81" spans="1:7">
      <c r="A81" s="290" t="s">
        <v>339</v>
      </c>
      <c r="B81" s="265" t="s">
        <v>703</v>
      </c>
      <c r="C81" s="264"/>
      <c r="D81" s="276"/>
      <c r="E81" s="276"/>
      <c r="F81" s="266">
        <f>SUM(F82:F92)</f>
        <v>18211910.400000002</v>
      </c>
      <c r="G81" s="291"/>
    </row>
    <row r="82" spans="1:7">
      <c r="A82" s="292" t="s">
        <v>704</v>
      </c>
      <c r="B82" s="261" t="s">
        <v>7</v>
      </c>
      <c r="C82" s="268" t="s">
        <v>257</v>
      </c>
      <c r="D82" s="274">
        <v>2</v>
      </c>
      <c r="E82" s="270">
        <v>50000</v>
      </c>
      <c r="F82" s="270">
        <f>(D82*E82)*1.2312</f>
        <v>123120</v>
      </c>
      <c r="G82" s="294">
        <f t="shared" ref="G82:G92" si="11">F82/$F$136</f>
        <v>3.502958424369043E-3</v>
      </c>
    </row>
    <row r="83" spans="1:7">
      <c r="A83" s="292" t="s">
        <v>705</v>
      </c>
      <c r="B83" s="261" t="s">
        <v>340</v>
      </c>
      <c r="C83" s="268" t="s">
        <v>257</v>
      </c>
      <c r="D83" s="274">
        <v>4</v>
      </c>
      <c r="E83" s="414">
        <f>3000000+(135000/2)</f>
        <v>3067500</v>
      </c>
      <c r="F83" s="270">
        <f t="shared" ref="F83:F108" si="12">(D83*E83)*1.2312</f>
        <v>15106824</v>
      </c>
      <c r="G83" s="294">
        <f t="shared" si="11"/>
        <v>0.42981299867008155</v>
      </c>
    </row>
    <row r="84" spans="1:7">
      <c r="A84" s="292" t="s">
        <v>706</v>
      </c>
      <c r="B84" s="415" t="s">
        <v>680</v>
      </c>
      <c r="C84" s="268" t="s">
        <v>257</v>
      </c>
      <c r="D84" s="274">
        <v>4</v>
      </c>
      <c r="E84" s="270">
        <v>45000</v>
      </c>
      <c r="F84" s="270">
        <f t="shared" si="12"/>
        <v>221616</v>
      </c>
      <c r="G84" s="294">
        <f t="shared" si="11"/>
        <v>6.3053251638642768E-3</v>
      </c>
    </row>
    <row r="85" spans="1:7">
      <c r="A85" s="292" t="s">
        <v>707</v>
      </c>
      <c r="B85" s="415" t="s">
        <v>531</v>
      </c>
      <c r="C85" s="268" t="s">
        <v>257</v>
      </c>
      <c r="D85" s="274">
        <v>4</v>
      </c>
      <c r="E85" s="270">
        <v>200000</v>
      </c>
      <c r="F85" s="270">
        <f t="shared" si="12"/>
        <v>984960</v>
      </c>
      <c r="G85" s="294">
        <f t="shared" si="11"/>
        <v>2.8023667394952344E-2</v>
      </c>
    </row>
    <row r="86" spans="1:7">
      <c r="A86" s="292" t="s">
        <v>708</v>
      </c>
      <c r="B86" s="261" t="s">
        <v>8</v>
      </c>
      <c r="C86" s="268" t="s">
        <v>257</v>
      </c>
      <c r="D86" s="274">
        <v>2</v>
      </c>
      <c r="E86" s="270">
        <v>150000</v>
      </c>
      <c r="F86" s="270">
        <f t="shared" si="12"/>
        <v>369360</v>
      </c>
      <c r="G86" s="294">
        <f t="shared" si="11"/>
        <v>1.0508875273107128E-2</v>
      </c>
    </row>
    <row r="87" spans="1:7">
      <c r="A87" s="292" t="s">
        <v>717</v>
      </c>
      <c r="B87" s="261" t="s">
        <v>10</v>
      </c>
      <c r="C87" s="268" t="s">
        <v>257</v>
      </c>
      <c r="D87" s="274">
        <v>2</v>
      </c>
      <c r="E87" s="270">
        <v>80000</v>
      </c>
      <c r="F87" s="270">
        <f t="shared" si="12"/>
        <v>196992</v>
      </c>
      <c r="G87" s="294">
        <f t="shared" si="11"/>
        <v>5.6047334789904686E-3</v>
      </c>
    </row>
    <row r="88" spans="1:7">
      <c r="A88" s="292" t="s">
        <v>732</v>
      </c>
      <c r="B88" s="261" t="s">
        <v>725</v>
      </c>
      <c r="C88" s="268" t="s">
        <v>257</v>
      </c>
      <c r="D88" s="416">
        <v>4</v>
      </c>
      <c r="E88" s="270">
        <v>167000</v>
      </c>
      <c r="F88" s="270">
        <f t="shared" si="12"/>
        <v>822441.60000000009</v>
      </c>
      <c r="G88" s="294">
        <f t="shared" si="11"/>
        <v>2.339976227478521E-2</v>
      </c>
    </row>
    <row r="89" spans="1:7">
      <c r="A89" s="292" t="s">
        <v>733</v>
      </c>
      <c r="B89" s="261" t="s">
        <v>726</v>
      </c>
      <c r="C89" s="268" t="s">
        <v>257</v>
      </c>
      <c r="D89" s="274">
        <v>2</v>
      </c>
      <c r="E89" s="270">
        <v>12000</v>
      </c>
      <c r="F89" s="270">
        <f t="shared" si="12"/>
        <v>29548.800000000003</v>
      </c>
      <c r="G89" s="294">
        <f t="shared" si="11"/>
        <v>8.4071002184857042E-4</v>
      </c>
    </row>
    <row r="90" spans="1:7">
      <c r="A90" s="292" t="s">
        <v>734</v>
      </c>
      <c r="B90" s="261" t="s">
        <v>727</v>
      </c>
      <c r="C90" s="268" t="s">
        <v>257</v>
      </c>
      <c r="D90" s="274">
        <v>4</v>
      </c>
      <c r="E90" s="270">
        <v>3000</v>
      </c>
      <c r="F90" s="270">
        <f t="shared" si="12"/>
        <v>14774.400000000001</v>
      </c>
      <c r="G90" s="294">
        <f t="shared" si="11"/>
        <v>4.2035501092428521E-4</v>
      </c>
    </row>
    <row r="91" spans="1:7">
      <c r="A91" s="292" t="s">
        <v>735</v>
      </c>
      <c r="B91" s="261" t="s">
        <v>728</v>
      </c>
      <c r="C91" s="268" t="s">
        <v>257</v>
      </c>
      <c r="D91" s="416">
        <v>4</v>
      </c>
      <c r="E91" s="270">
        <v>2000</v>
      </c>
      <c r="F91" s="270">
        <f t="shared" si="12"/>
        <v>9849.6</v>
      </c>
      <c r="G91" s="294">
        <f t="shared" si="11"/>
        <v>2.8023667394952342E-4</v>
      </c>
    </row>
    <row r="92" spans="1:7">
      <c r="A92" s="292" t="s">
        <v>736</v>
      </c>
      <c r="B92" s="261" t="s">
        <v>729</v>
      </c>
      <c r="C92" s="268" t="s">
        <v>257</v>
      </c>
      <c r="D92" s="274">
        <v>2</v>
      </c>
      <c r="E92" s="270">
        <v>135000</v>
      </c>
      <c r="F92" s="270">
        <f t="shared" si="12"/>
        <v>332424</v>
      </c>
      <c r="G92" s="294">
        <f t="shared" si="11"/>
        <v>9.4579877457964152E-3</v>
      </c>
    </row>
    <row r="93" spans="1:7">
      <c r="A93" s="290" t="s">
        <v>341</v>
      </c>
      <c r="B93" s="265" t="s">
        <v>709</v>
      </c>
      <c r="C93" s="268"/>
      <c r="D93" s="274"/>
      <c r="E93" s="270"/>
      <c r="F93" s="266">
        <f>SUM(F94:F101)</f>
        <v>1218395.52</v>
      </c>
      <c r="G93" s="294"/>
    </row>
    <row r="94" spans="1:7" ht="24">
      <c r="A94" s="292" t="s">
        <v>710</v>
      </c>
      <c r="B94" s="413" t="s">
        <v>768</v>
      </c>
      <c r="C94" s="268" t="s">
        <v>257</v>
      </c>
      <c r="D94" s="274">
        <v>2</v>
      </c>
      <c r="E94" s="270">
        <v>145000</v>
      </c>
      <c r="F94" s="270">
        <f t="shared" si="12"/>
        <v>357048</v>
      </c>
      <c r="G94" s="294">
        <f t="shared" ref="G94:G101" si="13">F94/$F$136</f>
        <v>1.0158579430670224E-2</v>
      </c>
    </row>
    <row r="95" spans="1:7">
      <c r="A95" s="292" t="s">
        <v>711</v>
      </c>
      <c r="B95" s="261" t="s">
        <v>683</v>
      </c>
      <c r="C95" s="268" t="s">
        <v>257</v>
      </c>
      <c r="D95" s="274">
        <v>2</v>
      </c>
      <c r="E95" s="270">
        <v>20000</v>
      </c>
      <c r="F95" s="270">
        <f t="shared" si="12"/>
        <v>49248</v>
      </c>
      <c r="G95" s="294">
        <f t="shared" si="13"/>
        <v>1.4011833697476171E-3</v>
      </c>
    </row>
    <row r="96" spans="1:7">
      <c r="A96" s="292" t="s">
        <v>712</v>
      </c>
      <c r="B96" s="261" t="s">
        <v>684</v>
      </c>
      <c r="C96" s="268" t="s">
        <v>257</v>
      </c>
      <c r="D96" s="274">
        <v>2</v>
      </c>
      <c r="E96" s="270">
        <v>61000</v>
      </c>
      <c r="F96" s="270">
        <f t="shared" si="12"/>
        <v>150206.40000000002</v>
      </c>
      <c r="G96" s="294">
        <f t="shared" si="13"/>
        <v>4.2736092777302332E-3</v>
      </c>
    </row>
    <row r="97" spans="1:7">
      <c r="A97" s="292" t="s">
        <v>713</v>
      </c>
      <c r="B97" s="261" t="s">
        <v>685</v>
      </c>
      <c r="C97" s="268" t="s">
        <v>257</v>
      </c>
      <c r="D97" s="274">
        <v>2</v>
      </c>
      <c r="E97" s="270">
        <v>12800</v>
      </c>
      <c r="F97" s="270">
        <f t="shared" si="12"/>
        <v>31518.720000000001</v>
      </c>
      <c r="G97" s="294">
        <f t="shared" si="13"/>
        <v>8.9675735663847502E-4</v>
      </c>
    </row>
    <row r="98" spans="1:7">
      <c r="A98" s="292" t="s">
        <v>714</v>
      </c>
      <c r="B98" s="261" t="s">
        <v>686</v>
      </c>
      <c r="C98" s="268" t="s">
        <v>257</v>
      </c>
      <c r="D98" s="274">
        <v>2</v>
      </c>
      <c r="E98" s="270">
        <v>50000</v>
      </c>
      <c r="F98" s="270">
        <f t="shared" si="12"/>
        <v>123120</v>
      </c>
      <c r="G98" s="294">
        <f t="shared" si="13"/>
        <v>3.502958424369043E-3</v>
      </c>
    </row>
    <row r="99" spans="1:7">
      <c r="A99" s="292" t="s">
        <v>715</v>
      </c>
      <c r="B99" s="413" t="s">
        <v>688</v>
      </c>
      <c r="C99" s="268" t="s">
        <v>257</v>
      </c>
      <c r="D99" s="274">
        <v>4</v>
      </c>
      <c r="E99" s="270">
        <v>8000</v>
      </c>
      <c r="F99" s="270">
        <f t="shared" si="12"/>
        <v>39398.400000000001</v>
      </c>
      <c r="G99" s="294">
        <f t="shared" si="13"/>
        <v>1.1209466957980937E-3</v>
      </c>
    </row>
    <row r="100" spans="1:7">
      <c r="A100" s="292" t="s">
        <v>716</v>
      </c>
      <c r="B100" s="261" t="s">
        <v>682</v>
      </c>
      <c r="C100" s="268" t="s">
        <v>257</v>
      </c>
      <c r="D100" s="274">
        <v>2</v>
      </c>
      <c r="E100" s="270">
        <v>120000</v>
      </c>
      <c r="F100" s="270">
        <f t="shared" si="12"/>
        <v>295488</v>
      </c>
      <c r="G100" s="294">
        <f t="shared" si="13"/>
        <v>8.4071002184857024E-3</v>
      </c>
    </row>
    <row r="101" spans="1:7">
      <c r="A101" s="292" t="s">
        <v>731</v>
      </c>
      <c r="B101" s="261" t="s">
        <v>769</v>
      </c>
      <c r="C101" s="268" t="s">
        <v>257</v>
      </c>
      <c r="D101" s="274">
        <v>2</v>
      </c>
      <c r="E101" s="270">
        <v>70000</v>
      </c>
      <c r="F101" s="270">
        <f t="shared" si="12"/>
        <v>172368</v>
      </c>
      <c r="G101" s="294">
        <f t="shared" si="13"/>
        <v>4.9041417941166603E-3</v>
      </c>
    </row>
    <row r="102" spans="1:7">
      <c r="A102" s="290" t="s">
        <v>342</v>
      </c>
      <c r="B102" s="265" t="s">
        <v>723</v>
      </c>
      <c r="C102" s="268"/>
      <c r="D102" s="274"/>
      <c r="E102" s="270"/>
      <c r="F102" s="266">
        <f>SUM(F103:F108)</f>
        <v>1816020</v>
      </c>
      <c r="G102" s="294"/>
    </row>
    <row r="103" spans="1:7">
      <c r="A103" s="292" t="s">
        <v>718</v>
      </c>
      <c r="B103" s="415" t="s">
        <v>530</v>
      </c>
      <c r="C103" s="268" t="s">
        <v>257</v>
      </c>
      <c r="D103" s="274">
        <v>1</v>
      </c>
      <c r="E103" s="270">
        <v>780000</v>
      </c>
      <c r="F103" s="270">
        <f t="shared" si="12"/>
        <v>960336</v>
      </c>
      <c r="G103" s="294">
        <f t="shared" ref="G103:G108" si="14">F103/$F$136</f>
        <v>2.7323075710078533E-2</v>
      </c>
    </row>
    <row r="104" spans="1:7">
      <c r="A104" s="292" t="s">
        <v>719</v>
      </c>
      <c r="B104" s="261" t="s">
        <v>7</v>
      </c>
      <c r="C104" s="268" t="s">
        <v>257</v>
      </c>
      <c r="D104" s="274">
        <v>1</v>
      </c>
      <c r="E104" s="270">
        <v>50000</v>
      </c>
      <c r="F104" s="270">
        <f t="shared" si="12"/>
        <v>61560</v>
      </c>
      <c r="G104" s="294">
        <f t="shared" si="14"/>
        <v>1.7514792121845215E-3</v>
      </c>
    </row>
    <row r="105" spans="1:7">
      <c r="A105" s="292" t="s">
        <v>720</v>
      </c>
      <c r="B105" s="261" t="s">
        <v>724</v>
      </c>
      <c r="C105" s="268" t="s">
        <v>257</v>
      </c>
      <c r="D105" s="274">
        <v>1</v>
      </c>
      <c r="E105" s="270">
        <v>265000</v>
      </c>
      <c r="F105" s="270">
        <f t="shared" si="12"/>
        <v>326268</v>
      </c>
      <c r="G105" s="294">
        <f t="shared" si="14"/>
        <v>9.2828398245779643E-3</v>
      </c>
    </row>
    <row r="106" spans="1:7">
      <c r="A106" s="292" t="s">
        <v>721</v>
      </c>
      <c r="B106" s="261" t="s">
        <v>11</v>
      </c>
      <c r="C106" s="268" t="s">
        <v>257</v>
      </c>
      <c r="D106" s="274">
        <v>1</v>
      </c>
      <c r="E106" s="270">
        <v>120000</v>
      </c>
      <c r="F106" s="270">
        <f t="shared" si="12"/>
        <v>147744</v>
      </c>
      <c r="G106" s="294">
        <f t="shared" si="14"/>
        <v>4.2035501092428512E-3</v>
      </c>
    </row>
    <row r="107" spans="1:7">
      <c r="A107" s="292" t="s">
        <v>722</v>
      </c>
      <c r="B107" s="261" t="s">
        <v>12</v>
      </c>
      <c r="C107" s="268" t="s">
        <v>257</v>
      </c>
      <c r="D107" s="274">
        <v>1</v>
      </c>
      <c r="E107" s="270">
        <v>150000</v>
      </c>
      <c r="F107" s="270">
        <f t="shared" si="12"/>
        <v>184680</v>
      </c>
      <c r="G107" s="294">
        <f t="shared" si="14"/>
        <v>5.254437636553564E-3</v>
      </c>
    </row>
    <row r="108" spans="1:7">
      <c r="A108" s="292" t="s">
        <v>737</v>
      </c>
      <c r="B108" s="261" t="s">
        <v>730</v>
      </c>
      <c r="C108" s="268" t="s">
        <v>257</v>
      </c>
      <c r="D108" s="274">
        <v>1</v>
      </c>
      <c r="E108" s="270">
        <v>110000</v>
      </c>
      <c r="F108" s="270">
        <f t="shared" si="12"/>
        <v>135432</v>
      </c>
      <c r="G108" s="294">
        <f t="shared" si="14"/>
        <v>3.8532542668059471E-3</v>
      </c>
    </row>
    <row r="109" spans="1:7">
      <c r="A109" s="292"/>
      <c r="B109" s="261"/>
      <c r="C109" s="268"/>
      <c r="D109" s="277"/>
      <c r="E109" s="272"/>
      <c r="F109" s="272"/>
      <c r="G109" s="367"/>
    </row>
    <row r="110" spans="1:7">
      <c r="A110" s="290" t="s">
        <v>345</v>
      </c>
      <c r="B110" s="265" t="s">
        <v>13</v>
      </c>
      <c r="C110" s="264"/>
      <c r="D110" s="269"/>
      <c r="E110" s="273"/>
      <c r="F110" s="266">
        <f>SUM(F111:F116)</f>
        <v>88818.768000000011</v>
      </c>
      <c r="G110" s="291">
        <f>F110/$F$136</f>
        <v>2.5270342073398276E-3</v>
      </c>
    </row>
    <row r="111" spans="1:7">
      <c r="A111" s="292" t="s">
        <v>346</v>
      </c>
      <c r="B111" s="261" t="s">
        <v>14</v>
      </c>
      <c r="C111" s="268" t="s">
        <v>257</v>
      </c>
      <c r="D111" s="269">
        <v>16</v>
      </c>
      <c r="E111" s="270">
        <v>2000</v>
      </c>
      <c r="F111" s="270">
        <f t="shared" ref="F111:F116" si="15">(D111*E111)*1.2312</f>
        <v>39398.400000000001</v>
      </c>
      <c r="G111" s="294">
        <f t="shared" ref="G111:G116" si="16">F111/$F$136</f>
        <v>1.1209466957980937E-3</v>
      </c>
    </row>
    <row r="112" spans="1:7">
      <c r="A112" s="292" t="s">
        <v>347</v>
      </c>
      <c r="B112" s="261" t="s">
        <v>15</v>
      </c>
      <c r="C112" s="268" t="s">
        <v>257</v>
      </c>
      <c r="D112" s="269">
        <v>132</v>
      </c>
      <c r="E112" s="270">
        <v>120</v>
      </c>
      <c r="F112" s="270">
        <f t="shared" si="15"/>
        <v>19502.208000000002</v>
      </c>
      <c r="G112" s="294">
        <f t="shared" si="16"/>
        <v>5.5486861442005642E-4</v>
      </c>
    </row>
    <row r="113" spans="1:7">
      <c r="A113" s="292" t="s">
        <v>348</v>
      </c>
      <c r="B113" s="261" t="s">
        <v>16</v>
      </c>
      <c r="C113" s="268" t="s">
        <v>257</v>
      </c>
      <c r="D113" s="269">
        <v>20</v>
      </c>
      <c r="E113" s="270">
        <v>250</v>
      </c>
      <c r="F113" s="270">
        <f t="shared" si="15"/>
        <v>6156</v>
      </c>
      <c r="G113" s="294">
        <f t="shared" si="16"/>
        <v>1.7514792121845214E-4</v>
      </c>
    </row>
    <row r="114" spans="1:7">
      <c r="A114" s="292" t="s">
        <v>349</v>
      </c>
      <c r="B114" s="261" t="s">
        <v>17</v>
      </c>
      <c r="C114" s="268" t="s">
        <v>257</v>
      </c>
      <c r="D114" s="269">
        <v>8</v>
      </c>
      <c r="E114" s="270">
        <v>1250</v>
      </c>
      <c r="F114" s="270">
        <f t="shared" si="15"/>
        <v>12312</v>
      </c>
      <c r="G114" s="294">
        <f t="shared" si="16"/>
        <v>3.5029584243690429E-4</v>
      </c>
    </row>
    <row r="115" spans="1:7">
      <c r="A115" s="292" t="s">
        <v>350</v>
      </c>
      <c r="B115" s="261" t="s">
        <v>18</v>
      </c>
      <c r="C115" s="268" t="s">
        <v>257</v>
      </c>
      <c r="D115" s="269">
        <v>6</v>
      </c>
      <c r="E115" s="270">
        <v>1200</v>
      </c>
      <c r="F115" s="270">
        <f t="shared" si="15"/>
        <v>8864.6400000000012</v>
      </c>
      <c r="G115" s="294">
        <f t="shared" si="16"/>
        <v>2.5221300655457111E-4</v>
      </c>
    </row>
    <row r="116" spans="1:7">
      <c r="A116" s="292" t="s">
        <v>532</v>
      </c>
      <c r="B116" s="261" t="s">
        <v>533</v>
      </c>
      <c r="C116" s="268" t="s">
        <v>257</v>
      </c>
      <c r="D116" s="269">
        <v>28</v>
      </c>
      <c r="E116" s="270">
        <f>150/2</f>
        <v>75</v>
      </c>
      <c r="F116" s="270">
        <f t="shared" si="15"/>
        <v>2585.52</v>
      </c>
      <c r="G116" s="294">
        <f t="shared" si="16"/>
        <v>7.3562126911749906E-5</v>
      </c>
    </row>
    <row r="117" spans="1:7">
      <c r="A117" s="292"/>
      <c r="B117" s="260"/>
      <c r="C117" s="278"/>
      <c r="D117" s="269"/>
      <c r="E117" s="260"/>
      <c r="F117" s="260"/>
      <c r="G117" s="368"/>
    </row>
    <row r="118" spans="1:7">
      <c r="A118" s="290" t="s">
        <v>351</v>
      </c>
      <c r="B118" s="265" t="s">
        <v>19</v>
      </c>
      <c r="C118" s="264"/>
      <c r="D118" s="269"/>
      <c r="E118" s="276"/>
      <c r="F118" s="266">
        <f>SUM(F119:F124)</f>
        <v>74856.960000000021</v>
      </c>
      <c r="G118" s="291">
        <f t="shared" ref="G118:G123" si="17">F118/$F$136</f>
        <v>2.1297987220163786E-3</v>
      </c>
    </row>
    <row r="119" spans="1:7">
      <c r="A119" s="292" t="s">
        <v>352</v>
      </c>
      <c r="B119" s="261" t="s">
        <v>20</v>
      </c>
      <c r="C119" s="268" t="s">
        <v>257</v>
      </c>
      <c r="D119" s="269">
        <v>2</v>
      </c>
      <c r="E119" s="270">
        <v>2200</v>
      </c>
      <c r="F119" s="270">
        <f t="shared" ref="F119:F124" si="18">(D119*E119)*1.2312</f>
        <v>5417.2800000000007</v>
      </c>
      <c r="G119" s="294">
        <f t="shared" si="17"/>
        <v>1.5413017067223792E-4</v>
      </c>
    </row>
    <row r="120" spans="1:7">
      <c r="A120" s="292" t="s">
        <v>353</v>
      </c>
      <c r="B120" s="261" t="s">
        <v>21</v>
      </c>
      <c r="C120" s="268" t="s">
        <v>257</v>
      </c>
      <c r="D120" s="269">
        <v>12</v>
      </c>
      <c r="E120" s="270">
        <v>1800</v>
      </c>
      <c r="F120" s="270">
        <f t="shared" si="18"/>
        <v>26593.920000000002</v>
      </c>
      <c r="G120" s="294">
        <f t="shared" si="17"/>
        <v>7.5663901966371329E-4</v>
      </c>
    </row>
    <row r="121" spans="1:7">
      <c r="A121" s="292" t="s">
        <v>354</v>
      </c>
      <c r="B121" s="261" t="s">
        <v>22</v>
      </c>
      <c r="C121" s="268" t="s">
        <v>257</v>
      </c>
      <c r="D121" s="269">
        <v>12</v>
      </c>
      <c r="E121" s="270">
        <v>150</v>
      </c>
      <c r="F121" s="270">
        <f t="shared" si="18"/>
        <v>2216.1600000000003</v>
      </c>
      <c r="G121" s="294">
        <f t="shared" si="17"/>
        <v>6.3053251638642779E-5</v>
      </c>
    </row>
    <row r="122" spans="1:7">
      <c r="A122" s="292" t="s">
        <v>355</v>
      </c>
      <c r="B122" s="261" t="s">
        <v>23</v>
      </c>
      <c r="C122" s="268" t="s">
        <v>257</v>
      </c>
      <c r="D122" s="269">
        <v>4</v>
      </c>
      <c r="E122" s="270">
        <v>450</v>
      </c>
      <c r="F122" s="270">
        <f t="shared" si="18"/>
        <v>2216.1600000000003</v>
      </c>
      <c r="G122" s="294">
        <f t="shared" si="17"/>
        <v>6.3053251638642779E-5</v>
      </c>
    </row>
    <row r="123" spans="1:7">
      <c r="A123" s="292" t="s">
        <v>356</v>
      </c>
      <c r="B123" s="261" t="s">
        <v>24</v>
      </c>
      <c r="C123" s="268" t="s">
        <v>257</v>
      </c>
      <c r="D123" s="269">
        <v>8</v>
      </c>
      <c r="E123" s="270">
        <v>150</v>
      </c>
      <c r="F123" s="270">
        <f t="shared" si="18"/>
        <v>1477.44</v>
      </c>
      <c r="G123" s="294">
        <f t="shared" si="17"/>
        <v>4.2035501092428517E-5</v>
      </c>
    </row>
    <row r="124" spans="1:7">
      <c r="A124" s="292" t="s">
        <v>534</v>
      </c>
      <c r="B124" s="261" t="s">
        <v>535</v>
      </c>
      <c r="C124" s="268" t="s">
        <v>257</v>
      </c>
      <c r="D124" s="269">
        <v>2</v>
      </c>
      <c r="E124" s="270">
        <v>15000</v>
      </c>
      <c r="F124" s="270">
        <f t="shared" si="18"/>
        <v>36936</v>
      </c>
      <c r="G124" s="294">
        <f t="shared" ref="G124" si="19">F124/$F$136</f>
        <v>1.0508875273107128E-3</v>
      </c>
    </row>
    <row r="125" spans="1:7">
      <c r="A125" s="292"/>
      <c r="B125" s="261"/>
      <c r="C125" s="268"/>
      <c r="D125" s="269"/>
      <c r="E125" s="279"/>
      <c r="F125" s="279"/>
      <c r="G125" s="7"/>
    </row>
    <row r="126" spans="1:7">
      <c r="A126" s="290" t="s">
        <v>357</v>
      </c>
      <c r="B126" s="265" t="s">
        <v>358</v>
      </c>
      <c r="C126" s="264"/>
      <c r="D126" s="269"/>
      <c r="E126" s="276"/>
      <c r="F126" s="266">
        <f>SUM(F127:F128)</f>
        <v>1474833.2159956626</v>
      </c>
      <c r="G126" s="291">
        <f>F126/$F$136</f>
        <v>4.1961333971014411E-2</v>
      </c>
    </row>
    <row r="127" spans="1:7">
      <c r="A127" s="292" t="s">
        <v>359</v>
      </c>
      <c r="B127" s="261" t="s">
        <v>360</v>
      </c>
      <c r="C127" s="268" t="s">
        <v>361</v>
      </c>
      <c r="D127" s="269">
        <v>10</v>
      </c>
      <c r="E127" s="270">
        <f>F118+F110+F58+F43+F25+F17+F7</f>
        <v>11473236.044777257</v>
      </c>
      <c r="F127" s="270">
        <f>(D127*E127/100)*1.2318</f>
        <v>1413273.2159956626</v>
      </c>
      <c r="G127" s="294">
        <f>F127/$F$136</f>
        <v>4.0209854758829891E-2</v>
      </c>
    </row>
    <row r="128" spans="1:7">
      <c r="A128" s="292" t="s">
        <v>362</v>
      </c>
      <c r="B128" s="261" t="s">
        <v>26</v>
      </c>
      <c r="C128" s="268" t="s">
        <v>257</v>
      </c>
      <c r="D128" s="269">
        <v>2</v>
      </c>
      <c r="E128" s="270">
        <v>25000</v>
      </c>
      <c r="F128" s="270">
        <f t="shared" ref="F128" si="20">(D128*E128)*1.2312</f>
        <v>61560</v>
      </c>
      <c r="G128" s="294">
        <f>F128/$F$136</f>
        <v>1.7514792121845215E-3</v>
      </c>
    </row>
    <row r="129" spans="1:9">
      <c r="A129" s="292"/>
      <c r="B129" s="417"/>
      <c r="C129" s="278"/>
      <c r="D129" s="269"/>
      <c r="E129" s="260"/>
      <c r="F129" s="260"/>
      <c r="G129" s="164"/>
    </row>
    <row r="130" spans="1:9">
      <c r="A130" s="290" t="s">
        <v>363</v>
      </c>
      <c r="B130" s="280" t="s">
        <v>364</v>
      </c>
      <c r="C130" s="281"/>
      <c r="D130" s="269"/>
      <c r="E130" s="260"/>
      <c r="F130" s="266">
        <f>SUM(F131:F132)</f>
        <v>238594.81201747811</v>
      </c>
      <c r="G130" s="291">
        <f>F130/$F$136</f>
        <v>6.788399177772686E-3</v>
      </c>
    </row>
    <row r="131" spans="1:9">
      <c r="A131" s="292" t="s">
        <v>365</v>
      </c>
      <c r="B131" s="261" t="s">
        <v>366</v>
      </c>
      <c r="C131" s="268" t="s">
        <v>361</v>
      </c>
      <c r="D131" s="418">
        <v>5.0000000000000001E-3</v>
      </c>
      <c r="E131" s="270">
        <f>F126+F118+F110+F80+F58</f>
        <v>33758091.620772921</v>
      </c>
      <c r="F131" s="270">
        <f t="shared" ref="F131:F132" si="21">(D131*E131)*1.2312</f>
        <v>207814.81201747811</v>
      </c>
      <c r="G131" s="294">
        <f>F131/$F$136</f>
        <v>5.912659571680425E-3</v>
      </c>
    </row>
    <row r="132" spans="1:9">
      <c r="A132" s="292" t="s">
        <v>367</v>
      </c>
      <c r="B132" s="261" t="s">
        <v>27</v>
      </c>
      <c r="C132" s="268" t="s">
        <v>361</v>
      </c>
      <c r="D132" s="418">
        <v>5.0000000000000001E-3</v>
      </c>
      <c r="E132" s="270">
        <v>5000000</v>
      </c>
      <c r="F132" s="270">
        <f t="shared" si="21"/>
        <v>30780</v>
      </c>
      <c r="G132" s="294">
        <f>F132/$F$136</f>
        <v>8.7573960609226074E-4</v>
      </c>
    </row>
    <row r="133" spans="1:9">
      <c r="A133" s="292"/>
      <c r="B133" s="261"/>
      <c r="C133" s="268"/>
      <c r="D133" s="418"/>
      <c r="E133" s="270"/>
      <c r="F133" s="270"/>
      <c r="G133" s="294"/>
    </row>
    <row r="134" spans="1:9">
      <c r="A134" s="292"/>
      <c r="B134" s="261"/>
      <c r="C134" s="268"/>
      <c r="D134" s="418"/>
      <c r="E134" s="270"/>
      <c r="F134" s="270"/>
      <c r="G134" s="294"/>
    </row>
    <row r="135" spans="1:9" ht="16" thickBot="1">
      <c r="A135" s="165"/>
      <c r="B135" s="273"/>
      <c r="C135" s="286"/>
      <c r="D135" s="280"/>
      <c r="E135" s="280"/>
      <c r="F135" s="418"/>
      <c r="G135" s="165"/>
    </row>
    <row r="136" spans="1:9" ht="16" thickBot="1">
      <c r="A136" s="165"/>
      <c r="B136" s="281" t="s">
        <v>28</v>
      </c>
      <c r="C136" s="281"/>
      <c r="D136" s="280"/>
      <c r="E136" s="280"/>
      <c r="F136" s="282">
        <f>F130+F118+F110+F80+F58+F126+F7+F17+F25+F43+F48+F51</f>
        <v>35147433.992790401</v>
      </c>
      <c r="G136" s="411">
        <f>G130+G126+G118+G110+G80+G58+G6</f>
        <v>1</v>
      </c>
      <c r="H136" s="399"/>
      <c r="I136" s="399"/>
    </row>
    <row r="137" spans="1:9">
      <c r="G137" s="166"/>
    </row>
    <row r="140" spans="1:9">
      <c r="F140" s="406"/>
    </row>
    <row r="141" spans="1:9">
      <c r="H141" s="406"/>
    </row>
    <row r="142" spans="1:9">
      <c r="F142" s="408"/>
    </row>
  </sheetData>
  <mergeCells count="3">
    <mergeCell ref="B1:F1"/>
    <mergeCell ref="H1:I1"/>
    <mergeCell ref="J1:K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B1" zoomScale="132" zoomScaleNormal="100" workbookViewId="0">
      <selection activeCell="D25" sqref="D25"/>
    </sheetView>
  </sheetViews>
  <sheetFormatPr baseColWidth="10" defaultColWidth="9.1640625" defaultRowHeight="15"/>
  <cols>
    <col min="1" max="1" width="10.1640625" customWidth="1"/>
    <col min="2" max="2" width="23.6640625" customWidth="1"/>
    <col min="3" max="3" width="14.5" customWidth="1"/>
    <col min="4" max="4" width="18" bestFit="1" customWidth="1"/>
    <col min="5" max="5" width="15.1640625" bestFit="1" customWidth="1"/>
    <col min="6" max="6" width="15" hidden="1" customWidth="1"/>
    <col min="7" max="8" width="11.33203125" hidden="1" customWidth="1"/>
    <col min="9" max="9" width="15" bestFit="1" customWidth="1"/>
    <col min="10" max="11" width="14.6640625" bestFit="1" customWidth="1"/>
  </cols>
  <sheetData>
    <row r="1" spans="1:9">
      <c r="A1" s="260"/>
      <c r="B1" s="426" t="s">
        <v>747</v>
      </c>
      <c r="C1" s="426"/>
      <c r="D1" s="426"/>
      <c r="E1" s="426"/>
      <c r="F1" s="426"/>
      <c r="G1" s="260"/>
      <c r="H1" s="260"/>
      <c r="I1" s="260"/>
    </row>
    <row r="2" spans="1:9">
      <c r="A2" s="260"/>
      <c r="B2" s="260"/>
      <c r="C2" s="260"/>
      <c r="D2" s="260"/>
      <c r="E2" s="260"/>
      <c r="F2" s="260"/>
      <c r="G2" s="260"/>
      <c r="H2" s="260"/>
      <c r="I2" s="260"/>
    </row>
    <row r="3" spans="1:9">
      <c r="A3" s="260"/>
      <c r="B3" s="273"/>
      <c r="C3" s="273"/>
      <c r="D3" s="260"/>
      <c r="E3" s="260"/>
      <c r="F3" s="260"/>
      <c r="G3" s="260"/>
      <c r="H3" s="260"/>
      <c r="I3" s="260"/>
    </row>
    <row r="4" spans="1:9">
      <c r="A4" s="273"/>
      <c r="B4" s="262"/>
      <c r="C4" s="262"/>
      <c r="D4" s="284"/>
      <c r="E4" s="285"/>
      <c r="F4" s="272"/>
      <c r="G4" s="273"/>
      <c r="H4" s="273"/>
      <c r="I4" s="273"/>
    </row>
    <row r="5" spans="1:9">
      <c r="A5" s="262" t="s">
        <v>37</v>
      </c>
      <c r="B5" s="263" t="s">
        <v>242</v>
      </c>
      <c r="C5" s="263" t="s">
        <v>29</v>
      </c>
      <c r="D5" s="263" t="s">
        <v>39</v>
      </c>
      <c r="E5" s="263" t="s">
        <v>243</v>
      </c>
      <c r="F5" s="263" t="s">
        <v>244</v>
      </c>
      <c r="G5" s="263" t="s">
        <v>54</v>
      </c>
      <c r="H5" s="263" t="s">
        <v>431</v>
      </c>
      <c r="I5" s="263" t="s">
        <v>432</v>
      </c>
    </row>
    <row r="6" spans="1:9">
      <c r="A6" s="268"/>
      <c r="B6" s="261"/>
      <c r="C6" s="268"/>
      <c r="D6" s="269"/>
      <c r="E6" s="270"/>
      <c r="F6" s="270"/>
      <c r="G6" s="271"/>
      <c r="H6" s="85">
        <v>5.79E-2</v>
      </c>
      <c r="I6" s="273"/>
    </row>
    <row r="7" spans="1:9">
      <c r="A7" s="264" t="s">
        <v>245</v>
      </c>
      <c r="B7" s="265" t="s">
        <v>756</v>
      </c>
      <c r="C7" s="268"/>
      <c r="D7" s="269"/>
      <c r="E7" s="275"/>
      <c r="F7" s="266"/>
      <c r="G7" s="267"/>
      <c r="H7" s="267"/>
      <c r="I7" s="273"/>
    </row>
    <row r="8" spans="1:9">
      <c r="A8" s="268" t="s">
        <v>41</v>
      </c>
      <c r="B8" s="265" t="s">
        <v>325</v>
      </c>
      <c r="C8" s="268"/>
      <c r="D8" s="269"/>
      <c r="E8" s="275"/>
      <c r="F8" s="266">
        <f>SUM(F9:F16)</f>
        <v>1395261.4233599999</v>
      </c>
      <c r="G8" s="267">
        <f>SUM(G9:G16)</f>
        <v>0.31525738505312634</v>
      </c>
      <c r="H8" s="267"/>
      <c r="I8" s="266">
        <f t="shared" ref="I8:I16" si="0">F8*(1+$H$6)^10</f>
        <v>2449637.1415057559</v>
      </c>
    </row>
    <row r="9" spans="1:9">
      <c r="A9" s="268" t="s">
        <v>44</v>
      </c>
      <c r="B9" s="261" t="s">
        <v>326</v>
      </c>
      <c r="C9" s="268" t="s">
        <v>250</v>
      </c>
      <c r="D9" s="269">
        <v>9000</v>
      </c>
      <c r="E9" s="270">
        <v>0.51</v>
      </c>
      <c r="F9" s="407">
        <f>(D9*E9)*1.2912</f>
        <v>5926.6079999999993</v>
      </c>
      <c r="G9" s="271">
        <f t="shared" ref="G9:G16" si="1">F9/$F$44</f>
        <v>1.3391088644990508E-3</v>
      </c>
      <c r="H9" s="271"/>
      <c r="I9" s="270">
        <f t="shared" si="0"/>
        <v>10405.246527194537</v>
      </c>
    </row>
    <row r="10" spans="1:9">
      <c r="A10" s="268" t="s">
        <v>128</v>
      </c>
      <c r="B10" s="261" t="s">
        <v>327</v>
      </c>
      <c r="C10" s="268" t="s">
        <v>250</v>
      </c>
      <c r="D10" s="269">
        <v>3000</v>
      </c>
      <c r="E10" s="270">
        <v>1.23</v>
      </c>
      <c r="F10" s="407">
        <f t="shared" ref="F10:F16" si="2">(D10*E10)*1.2912</f>
        <v>4764.5279999999993</v>
      </c>
      <c r="G10" s="271">
        <f t="shared" si="1"/>
        <v>1.0765384989110016E-3</v>
      </c>
      <c r="H10" s="271"/>
      <c r="I10" s="270">
        <f t="shared" si="0"/>
        <v>8365.0021100975682</v>
      </c>
    </row>
    <row r="11" spans="1:9">
      <c r="A11" s="268" t="s">
        <v>310</v>
      </c>
      <c r="B11" s="261" t="s">
        <v>328</v>
      </c>
      <c r="C11" s="268" t="s">
        <v>252</v>
      </c>
      <c r="D11" s="269">
        <v>200</v>
      </c>
      <c r="E11" s="270">
        <v>116.67</v>
      </c>
      <c r="F11" s="407">
        <f t="shared" si="2"/>
        <v>30128.860799999999</v>
      </c>
      <c r="G11" s="271">
        <f t="shared" si="1"/>
        <v>6.8075743451461558E-3</v>
      </c>
      <c r="H11" s="271"/>
      <c r="I11" s="270">
        <f t="shared" si="0"/>
        <v>52896.736920600721</v>
      </c>
    </row>
    <row r="12" spans="1:9">
      <c r="A12" s="268" t="s">
        <v>318</v>
      </c>
      <c r="B12" s="261" t="s">
        <v>329</v>
      </c>
      <c r="C12" s="268" t="s">
        <v>252</v>
      </c>
      <c r="D12" s="269">
        <v>160</v>
      </c>
      <c r="E12" s="270">
        <v>205.43</v>
      </c>
      <c r="F12" s="407">
        <f t="shared" si="2"/>
        <v>42440.194560000004</v>
      </c>
      <c r="G12" s="271">
        <f t="shared" si="1"/>
        <v>9.5893031471560811E-3</v>
      </c>
      <c r="H12" s="271"/>
      <c r="I12" s="270">
        <f t="shared" si="0"/>
        <v>74511.539662974261</v>
      </c>
    </row>
    <row r="13" spans="1:9">
      <c r="A13" s="268" t="s">
        <v>368</v>
      </c>
      <c r="B13" s="261" t="s">
        <v>330</v>
      </c>
      <c r="C13" s="268" t="s">
        <v>252</v>
      </c>
      <c r="D13" s="269">
        <v>240</v>
      </c>
      <c r="E13" s="270">
        <v>132.72</v>
      </c>
      <c r="F13" s="407">
        <f t="shared" si="2"/>
        <v>41128.335359999997</v>
      </c>
      <c r="G13" s="271">
        <f t="shared" si="1"/>
        <v>9.2928903788922369E-3</v>
      </c>
      <c r="H13" s="271"/>
      <c r="I13" s="270">
        <f t="shared" si="0"/>
        <v>72208.330409895891</v>
      </c>
    </row>
    <row r="14" spans="1:9">
      <c r="A14" s="268" t="s">
        <v>383</v>
      </c>
      <c r="B14" s="261" t="s">
        <v>332</v>
      </c>
      <c r="C14" s="268" t="s">
        <v>394</v>
      </c>
      <c r="D14" s="269">
        <v>120</v>
      </c>
      <c r="E14" s="270">
        <v>1350.21</v>
      </c>
      <c r="F14" s="407">
        <f t="shared" si="2"/>
        <v>209206.93823999999</v>
      </c>
      <c r="G14" s="271">
        <f t="shared" si="1"/>
        <v>4.7270017776085325E-2</v>
      </c>
      <c r="H14" s="271"/>
      <c r="I14" s="270">
        <f t="shared" si="0"/>
        <v>367301.12192113296</v>
      </c>
    </row>
    <row r="15" spans="1:9">
      <c r="A15" s="268" t="s">
        <v>384</v>
      </c>
      <c r="B15" s="261" t="s">
        <v>333</v>
      </c>
      <c r="C15" s="268" t="s">
        <v>334</v>
      </c>
      <c r="D15" s="269">
        <v>9000</v>
      </c>
      <c r="E15" s="270">
        <f>700000/D15</f>
        <v>77.777777777777771</v>
      </c>
      <c r="F15" s="407">
        <f t="shared" si="2"/>
        <v>903839.99999999988</v>
      </c>
      <c r="G15" s="271">
        <f t="shared" si="1"/>
        <v>0.20422139545737159</v>
      </c>
      <c r="H15" s="271"/>
      <c r="I15" s="270">
        <f t="shared" si="0"/>
        <v>1586856.7688531971</v>
      </c>
    </row>
    <row r="16" spans="1:9">
      <c r="A16" s="268" t="s">
        <v>385</v>
      </c>
      <c r="B16" s="261" t="s">
        <v>337</v>
      </c>
      <c r="C16" s="268" t="s">
        <v>250</v>
      </c>
      <c r="D16" s="269">
        <v>2400</v>
      </c>
      <c r="E16" s="270">
        <f>50.93</f>
        <v>50.93</v>
      </c>
      <c r="F16" s="407">
        <f t="shared" si="2"/>
        <v>157825.95839999997</v>
      </c>
      <c r="G16" s="271">
        <f t="shared" si="1"/>
        <v>3.5660556585064916E-2</v>
      </c>
      <c r="H16" s="271"/>
      <c r="I16" s="270">
        <f t="shared" si="0"/>
        <v>277092.39510066283</v>
      </c>
    </row>
    <row r="17" spans="1:9">
      <c r="A17" s="268"/>
      <c r="B17" s="265"/>
      <c r="C17" s="264"/>
      <c r="D17" s="276"/>
      <c r="E17" s="276"/>
      <c r="F17" s="407"/>
      <c r="G17" s="273"/>
      <c r="H17" s="273"/>
      <c r="I17" s="266"/>
    </row>
    <row r="18" spans="1:9">
      <c r="A18" s="264" t="s">
        <v>322</v>
      </c>
      <c r="B18" s="265" t="s">
        <v>6</v>
      </c>
      <c r="C18" s="264"/>
      <c r="D18" s="276"/>
      <c r="E18" s="276">
        <v>0</v>
      </c>
      <c r="F18" s="266">
        <f>SUM(F19:F26)</f>
        <v>2968638</v>
      </c>
      <c r="G18" s="267">
        <f>SUM(G19:G24)</f>
        <v>0.46480024995987335</v>
      </c>
      <c r="H18" s="267"/>
      <c r="I18" s="266">
        <f t="shared" ref="I18:I26" si="3">F18*(1+$H$6)^10</f>
        <v>5211988.0781718204</v>
      </c>
    </row>
    <row r="19" spans="1:9">
      <c r="A19" s="268" t="s">
        <v>324</v>
      </c>
      <c r="B19" s="261" t="s">
        <v>8</v>
      </c>
      <c r="C19" s="268" t="s">
        <v>257</v>
      </c>
      <c r="D19" s="269">
        <v>2</v>
      </c>
      <c r="E19" s="270">
        <v>150000</v>
      </c>
      <c r="F19" s="407">
        <f t="shared" ref="F19:F26" si="4">(D19*E19)*1.2318</f>
        <v>369540</v>
      </c>
      <c r="G19" s="271">
        <f t="shared" ref="G19:G24" si="5">F19/$F$44</f>
        <v>8.3497050890995211E-2</v>
      </c>
      <c r="H19" s="271"/>
      <c r="I19" s="270">
        <f t="shared" si="3"/>
        <v>648795.1964529237</v>
      </c>
    </row>
    <row r="20" spans="1:9">
      <c r="A20" s="268" t="s">
        <v>386</v>
      </c>
      <c r="B20" s="261" t="s">
        <v>9</v>
      </c>
      <c r="C20" s="268" t="s">
        <v>257</v>
      </c>
      <c r="D20" s="269">
        <v>2</v>
      </c>
      <c r="E20" s="270">
        <v>70000</v>
      </c>
      <c r="F20" s="407">
        <f t="shared" si="4"/>
        <v>172452</v>
      </c>
      <c r="G20" s="271">
        <f t="shared" si="5"/>
        <v>3.8965290415797764E-2</v>
      </c>
      <c r="H20" s="271"/>
      <c r="I20" s="270">
        <f t="shared" si="3"/>
        <v>302771.09167803108</v>
      </c>
    </row>
    <row r="21" spans="1:9">
      <c r="A21" s="268" t="s">
        <v>387</v>
      </c>
      <c r="B21" s="261" t="s">
        <v>10</v>
      </c>
      <c r="C21" s="268" t="s">
        <v>257</v>
      </c>
      <c r="D21" s="269">
        <v>2</v>
      </c>
      <c r="E21" s="270">
        <v>80000</v>
      </c>
      <c r="F21" s="407">
        <f t="shared" si="4"/>
        <v>197088</v>
      </c>
      <c r="G21" s="271">
        <f t="shared" si="5"/>
        <v>4.4531760475197441E-2</v>
      </c>
      <c r="H21" s="271"/>
      <c r="I21" s="270">
        <f t="shared" si="3"/>
        <v>346024.10477489268</v>
      </c>
    </row>
    <row r="22" spans="1:9">
      <c r="A22" s="268" t="s">
        <v>388</v>
      </c>
      <c r="B22" s="261" t="s">
        <v>11</v>
      </c>
      <c r="C22" s="268" t="s">
        <v>257</v>
      </c>
      <c r="D22" s="269">
        <v>2</v>
      </c>
      <c r="E22" s="270">
        <v>120000</v>
      </c>
      <c r="F22" s="407">
        <f t="shared" si="4"/>
        <v>295632</v>
      </c>
      <c r="G22" s="271">
        <f t="shared" si="5"/>
        <v>6.6797640712796161E-2</v>
      </c>
      <c r="H22" s="271"/>
      <c r="I22" s="270">
        <f t="shared" si="3"/>
        <v>519036.15716233896</v>
      </c>
    </row>
    <row r="23" spans="1:9">
      <c r="A23" s="268" t="s">
        <v>389</v>
      </c>
      <c r="B23" s="261" t="s">
        <v>381</v>
      </c>
      <c r="C23" s="268" t="s">
        <v>257</v>
      </c>
      <c r="D23" s="269">
        <v>2</v>
      </c>
      <c r="E23" s="270">
        <v>265000</v>
      </c>
      <c r="F23" s="407">
        <f t="shared" si="4"/>
        <v>652854</v>
      </c>
      <c r="G23" s="271">
        <f t="shared" si="5"/>
        <v>0.14751145657409154</v>
      </c>
      <c r="H23" s="271"/>
      <c r="I23" s="270">
        <f t="shared" si="3"/>
        <v>1146204.847066832</v>
      </c>
    </row>
    <row r="24" spans="1:9">
      <c r="A24" s="268" t="s">
        <v>390</v>
      </c>
      <c r="B24" s="261" t="s">
        <v>12</v>
      </c>
      <c r="C24" s="268" t="s">
        <v>257</v>
      </c>
      <c r="D24" s="269">
        <v>2</v>
      </c>
      <c r="E24" s="270">
        <v>150000</v>
      </c>
      <c r="F24" s="407">
        <f t="shared" si="4"/>
        <v>369540</v>
      </c>
      <c r="G24" s="271">
        <f t="shared" si="5"/>
        <v>8.3497050890995211E-2</v>
      </c>
      <c r="H24" s="271"/>
      <c r="I24" s="270">
        <f t="shared" si="3"/>
        <v>648795.1964529237</v>
      </c>
    </row>
    <row r="25" spans="1:9">
      <c r="A25" s="268" t="s">
        <v>588</v>
      </c>
      <c r="B25" s="261" t="s">
        <v>680</v>
      </c>
      <c r="C25" s="268" t="s">
        <v>257</v>
      </c>
      <c r="D25" s="269">
        <v>4</v>
      </c>
      <c r="E25" s="270">
        <v>35000</v>
      </c>
      <c r="F25" s="407">
        <f t="shared" si="4"/>
        <v>172452</v>
      </c>
      <c r="G25" s="271">
        <f t="shared" ref="G25:G26" si="6">F25/$F$44</f>
        <v>3.8965290415797764E-2</v>
      </c>
      <c r="H25" s="271"/>
      <c r="I25" s="270">
        <f t="shared" si="3"/>
        <v>302771.09167803108</v>
      </c>
    </row>
    <row r="26" spans="1:9">
      <c r="A26" s="268" t="s">
        <v>589</v>
      </c>
      <c r="B26" s="261" t="s">
        <v>531</v>
      </c>
      <c r="C26" s="268" t="s">
        <v>257</v>
      </c>
      <c r="D26" s="269">
        <v>4</v>
      </c>
      <c r="E26" s="270">
        <v>150000</v>
      </c>
      <c r="F26" s="407">
        <f t="shared" si="4"/>
        <v>739080</v>
      </c>
      <c r="G26" s="271">
        <f t="shared" si="6"/>
        <v>0.16699410178199042</v>
      </c>
      <c r="H26" s="271"/>
      <c r="I26" s="270">
        <f t="shared" si="3"/>
        <v>1297590.3929058474</v>
      </c>
    </row>
    <row r="27" spans="1:9">
      <c r="A27" s="268"/>
      <c r="B27" s="261"/>
      <c r="C27" s="268"/>
      <c r="D27" s="269"/>
      <c r="E27" s="270"/>
      <c r="F27" s="269"/>
      <c r="G27" s="271"/>
      <c r="H27" s="271"/>
      <c r="I27" s="270"/>
    </row>
    <row r="28" spans="1:9">
      <c r="A28" s="268"/>
      <c r="B28" s="261"/>
      <c r="C28" s="268"/>
      <c r="D28" s="277"/>
      <c r="E28" s="272"/>
      <c r="F28" s="272"/>
      <c r="G28" s="273"/>
      <c r="H28" s="273"/>
      <c r="I28" s="266"/>
    </row>
    <row r="29" spans="1:9">
      <c r="A29" s="264" t="s">
        <v>338</v>
      </c>
      <c r="B29" s="265" t="s">
        <v>13</v>
      </c>
      <c r="C29" s="264"/>
      <c r="D29" s="269"/>
      <c r="E29" s="273"/>
      <c r="F29" s="266">
        <f>SUM(F30:F34)</f>
        <v>38974.152000000002</v>
      </c>
      <c r="G29" s="267">
        <f>SUM(G30:G34)</f>
        <v>8.8061556339702942E-3</v>
      </c>
      <c r="H29" s="267"/>
      <c r="I29" s="266">
        <f t="shared" ref="I29:I34" si="7">F29*(1+$H$6)^10</f>
        <v>68426.26671923502</v>
      </c>
    </row>
    <row r="30" spans="1:9">
      <c r="A30" s="268" t="s">
        <v>339</v>
      </c>
      <c r="B30" s="261" t="s">
        <v>14</v>
      </c>
      <c r="C30" s="268" t="s">
        <v>257</v>
      </c>
      <c r="D30" s="269">
        <v>8</v>
      </c>
      <c r="E30" s="270">
        <v>2000</v>
      </c>
      <c r="F30" s="407">
        <f t="shared" ref="F30:F34" si="8">(D30*E30)*1.2318</f>
        <v>19708.8</v>
      </c>
      <c r="G30" s="271">
        <f>F30/$F$44</f>
        <v>4.4531760475197439E-3</v>
      </c>
      <c r="H30" s="271"/>
      <c r="I30" s="270">
        <f t="shared" si="7"/>
        <v>34602.410477489262</v>
      </c>
    </row>
    <row r="31" spans="1:9">
      <c r="A31" s="268" t="s">
        <v>341</v>
      </c>
      <c r="B31" s="261" t="s">
        <v>15</v>
      </c>
      <c r="C31" s="268" t="s">
        <v>257</v>
      </c>
      <c r="D31" s="269">
        <v>32</v>
      </c>
      <c r="E31" s="270">
        <v>120</v>
      </c>
      <c r="F31" s="407">
        <f t="shared" si="8"/>
        <v>4730.1120000000001</v>
      </c>
      <c r="G31" s="271">
        <f>F31/$F$44</f>
        <v>1.0687622514047386E-3</v>
      </c>
      <c r="H31" s="271"/>
      <c r="I31" s="270">
        <f t="shared" si="7"/>
        <v>8304.5785145974241</v>
      </c>
    </row>
    <row r="32" spans="1:9">
      <c r="A32" s="268" t="s">
        <v>342</v>
      </c>
      <c r="B32" s="261" t="s">
        <v>16</v>
      </c>
      <c r="C32" s="268" t="s">
        <v>257</v>
      </c>
      <c r="D32" s="269">
        <v>8</v>
      </c>
      <c r="E32" s="270">
        <v>250</v>
      </c>
      <c r="F32" s="407">
        <f t="shared" si="8"/>
        <v>2463.6</v>
      </c>
      <c r="G32" s="271">
        <f>F32/$F$44</f>
        <v>5.5664700593996798E-4</v>
      </c>
      <c r="H32" s="271"/>
      <c r="I32" s="270">
        <f t="shared" si="7"/>
        <v>4325.3013096861578</v>
      </c>
    </row>
    <row r="33" spans="1:11">
      <c r="A33" s="268" t="s">
        <v>343</v>
      </c>
      <c r="B33" s="261" t="s">
        <v>17</v>
      </c>
      <c r="C33" s="268" t="s">
        <v>257</v>
      </c>
      <c r="D33" s="269">
        <v>4</v>
      </c>
      <c r="E33" s="270">
        <v>1250</v>
      </c>
      <c r="F33" s="407">
        <f t="shared" si="8"/>
        <v>6159</v>
      </c>
      <c r="G33" s="271">
        <f>F33/$F$44</f>
        <v>1.39161751484992E-3</v>
      </c>
      <c r="H33" s="271"/>
      <c r="I33" s="270">
        <f t="shared" si="7"/>
        <v>10813.253274215396</v>
      </c>
    </row>
    <row r="34" spans="1:11">
      <c r="A34" s="268" t="s">
        <v>344</v>
      </c>
      <c r="B34" s="261" t="s">
        <v>18</v>
      </c>
      <c r="C34" s="268" t="s">
        <v>257</v>
      </c>
      <c r="D34" s="269">
        <v>4</v>
      </c>
      <c r="E34" s="270">
        <v>1200</v>
      </c>
      <c r="F34" s="407">
        <f t="shared" si="8"/>
        <v>5912.64</v>
      </c>
      <c r="G34" s="271">
        <f>F34/$F$44</f>
        <v>1.3359528142559234E-3</v>
      </c>
      <c r="H34" s="271"/>
      <c r="I34" s="270">
        <f t="shared" si="7"/>
        <v>10380.72314324678</v>
      </c>
    </row>
    <row r="35" spans="1:11">
      <c r="A35" s="268"/>
      <c r="B35" s="260"/>
      <c r="C35" s="278"/>
      <c r="D35" s="269"/>
      <c r="E35" s="260"/>
      <c r="F35" s="260"/>
      <c r="G35" s="260"/>
      <c r="H35" s="260"/>
      <c r="I35" s="266"/>
    </row>
    <row r="36" spans="1:11">
      <c r="A36" s="264" t="s">
        <v>345</v>
      </c>
      <c r="B36" s="265" t="s">
        <v>19</v>
      </c>
      <c r="C36" s="264"/>
      <c r="D36" s="269"/>
      <c r="E36" s="276"/>
      <c r="F36" s="266">
        <f>SUM(F37:F40)</f>
        <v>22911.480000000003</v>
      </c>
      <c r="G36" s="267">
        <f>SUM(G37:G40)</f>
        <v>5.1768171552417034E-3</v>
      </c>
      <c r="H36" s="267"/>
      <c r="I36" s="266">
        <f>F36*(1+$H$6)^10</f>
        <v>40225.302180081278</v>
      </c>
    </row>
    <row r="37" spans="1:11" hidden="1">
      <c r="A37" s="268" t="s">
        <v>346</v>
      </c>
      <c r="B37" s="261" t="s">
        <v>21</v>
      </c>
      <c r="C37" s="268" t="s">
        <v>257</v>
      </c>
      <c r="D37" s="269">
        <v>8</v>
      </c>
      <c r="E37" s="270">
        <v>1800</v>
      </c>
      <c r="F37" s="407">
        <f t="shared" ref="F37:F40" si="9">(D37*E37)*1.2318</f>
        <v>17737.920000000002</v>
      </c>
      <c r="G37" s="271">
        <f>F37/$F$44</f>
        <v>4.0078584427677699E-3</v>
      </c>
      <c r="H37" s="271"/>
      <c r="I37" s="270">
        <f>F37*(1+$H$6)^10</f>
        <v>31142.169429740341</v>
      </c>
    </row>
    <row r="38" spans="1:11" hidden="1">
      <c r="A38" s="268" t="s">
        <v>347</v>
      </c>
      <c r="B38" s="261" t="s">
        <v>22</v>
      </c>
      <c r="C38" s="268" t="s">
        <v>257</v>
      </c>
      <c r="D38" s="269">
        <v>8</v>
      </c>
      <c r="E38" s="270">
        <v>150</v>
      </c>
      <c r="F38" s="407">
        <f t="shared" si="9"/>
        <v>1478.16</v>
      </c>
      <c r="G38" s="271">
        <f>F38/$F$44</f>
        <v>3.3398820356398085E-4</v>
      </c>
      <c r="H38" s="271"/>
      <c r="I38" s="270">
        <f>F38*(1+$H$6)^10</f>
        <v>2595.1807858116949</v>
      </c>
    </row>
    <row r="39" spans="1:11" hidden="1">
      <c r="A39" s="268" t="s">
        <v>348</v>
      </c>
      <c r="B39" s="261" t="s">
        <v>23</v>
      </c>
      <c r="C39" s="268" t="s">
        <v>257</v>
      </c>
      <c r="D39" s="269">
        <v>4</v>
      </c>
      <c r="E39" s="270">
        <v>450</v>
      </c>
      <c r="F39" s="407">
        <f t="shared" si="9"/>
        <v>2217.2400000000002</v>
      </c>
      <c r="G39" s="271">
        <f>F39/$F$44</f>
        <v>5.0098230534597124E-4</v>
      </c>
      <c r="H39" s="271"/>
      <c r="I39" s="270">
        <f>F39*(1+$H$6)^10</f>
        <v>3892.7711787175426</v>
      </c>
    </row>
    <row r="40" spans="1:11" hidden="1">
      <c r="A40" s="268" t="s">
        <v>349</v>
      </c>
      <c r="B40" s="261" t="s">
        <v>24</v>
      </c>
      <c r="C40" s="268" t="s">
        <v>257</v>
      </c>
      <c r="D40" s="269">
        <v>8</v>
      </c>
      <c r="E40" s="270">
        <v>150</v>
      </c>
      <c r="F40" s="407">
        <f t="shared" si="9"/>
        <v>1478.16</v>
      </c>
      <c r="G40" s="271">
        <f>F40/$F$44</f>
        <v>3.3398820356398085E-4</v>
      </c>
      <c r="H40" s="271"/>
      <c r="I40" s="270">
        <f>F40*(1+$H$6)^10</f>
        <v>2595.1807858116949</v>
      </c>
    </row>
    <row r="41" spans="1:11" hidden="1">
      <c r="A41" s="268"/>
      <c r="B41" s="261"/>
      <c r="C41" s="268"/>
      <c r="D41" s="269"/>
      <c r="E41" s="279"/>
      <c r="F41" s="279"/>
      <c r="G41" s="273"/>
      <c r="H41" s="273"/>
      <c r="I41" s="266"/>
    </row>
    <row r="42" spans="1:11" hidden="1">
      <c r="A42" s="260"/>
      <c r="B42" s="273"/>
      <c r="C42" s="286"/>
      <c r="D42" s="280"/>
      <c r="E42" s="280"/>
      <c r="F42" s="280"/>
      <c r="G42" s="280"/>
      <c r="H42" s="280"/>
      <c r="I42" s="280"/>
      <c r="J42" s="6"/>
    </row>
    <row r="43" spans="1:11" hidden="1">
      <c r="A43" s="260"/>
      <c r="B43" s="273"/>
      <c r="C43" s="286"/>
      <c r="D43" s="280"/>
      <c r="E43" s="280"/>
      <c r="F43" s="280"/>
      <c r="G43" s="280"/>
      <c r="H43" s="280"/>
      <c r="I43" s="280"/>
      <c r="J43" s="6"/>
    </row>
    <row r="44" spans="1:11">
      <c r="A44" s="260"/>
      <c r="B44" s="281" t="s">
        <v>28</v>
      </c>
      <c r="C44" s="281"/>
      <c r="D44" s="280"/>
      <c r="E44" s="280"/>
      <c r="F44" s="282">
        <f>F36+F29+F18+F8</f>
        <v>4425785.0553600006</v>
      </c>
      <c r="G44" s="283">
        <f>G36+G29+G18+G8</f>
        <v>0.79404060780221175</v>
      </c>
      <c r="H44" s="280"/>
      <c r="I44" s="266">
        <f>F44*(1+$H$6)^10</f>
        <v>7770276.7885768944</v>
      </c>
      <c r="K44" s="399"/>
    </row>
    <row r="45" spans="1:11">
      <c r="B45" s="8"/>
    </row>
    <row r="46" spans="1:11">
      <c r="F46" s="406"/>
      <c r="J46" s="399"/>
      <c r="K46" s="399"/>
    </row>
    <row r="48" spans="1:11">
      <c r="J48" s="399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A5" sqref="A5"/>
    </sheetView>
  </sheetViews>
  <sheetFormatPr baseColWidth="10" defaultColWidth="9.1640625" defaultRowHeight="15"/>
  <cols>
    <col min="1" max="1" width="10.1640625" customWidth="1"/>
    <col min="2" max="2" width="38" customWidth="1"/>
    <col min="3" max="3" width="10.1640625" customWidth="1"/>
    <col min="4" max="4" width="11.1640625" customWidth="1"/>
    <col min="5" max="5" width="15.1640625" bestFit="1" customWidth="1"/>
    <col min="6" max="6" width="15" bestFit="1" customWidth="1"/>
    <col min="9" max="10" width="21.83203125" bestFit="1" customWidth="1"/>
  </cols>
  <sheetData>
    <row r="1" spans="1:10">
      <c r="A1" s="260"/>
      <c r="B1" s="426" t="s">
        <v>0</v>
      </c>
      <c r="C1" s="426"/>
      <c r="D1" s="426"/>
      <c r="E1" s="426"/>
      <c r="F1" s="426"/>
      <c r="G1" s="260"/>
      <c r="H1" s="260"/>
      <c r="I1" s="260"/>
      <c r="J1" s="260"/>
    </row>
    <row r="2" spans="1:10">
      <c r="A2" s="268"/>
      <c r="B2" s="268"/>
      <c r="C2" s="268"/>
      <c r="D2" s="268"/>
      <c r="E2" s="268"/>
      <c r="F2" s="268"/>
      <c r="G2" s="260"/>
      <c r="H2" s="260"/>
      <c r="I2" s="260"/>
      <c r="J2" s="260"/>
    </row>
    <row r="3" spans="1:10">
      <c r="A3" s="268"/>
      <c r="B3" s="268"/>
      <c r="C3" s="268"/>
      <c r="D3" s="268"/>
      <c r="E3" s="268"/>
      <c r="F3" s="268"/>
      <c r="G3" s="260"/>
      <c r="H3" s="260"/>
      <c r="I3" s="260"/>
      <c r="J3" s="260"/>
    </row>
    <row r="4" spans="1:10">
      <c r="A4" s="268"/>
      <c r="B4" s="268"/>
      <c r="C4" s="268"/>
      <c r="D4" s="268"/>
      <c r="E4" s="268"/>
      <c r="F4" s="268"/>
      <c r="G4" s="273"/>
      <c r="H4" s="273"/>
      <c r="I4" s="273"/>
      <c r="J4" s="273"/>
    </row>
    <row r="5" spans="1:10">
      <c r="A5" s="262" t="s">
        <v>37</v>
      </c>
      <c r="B5" s="263" t="s">
        <v>242</v>
      </c>
      <c r="C5" s="263" t="s">
        <v>29</v>
      </c>
      <c r="D5" s="263" t="s">
        <v>39</v>
      </c>
      <c r="E5" s="263" t="s">
        <v>243</v>
      </c>
      <c r="F5" s="263" t="s">
        <v>244</v>
      </c>
      <c r="G5" s="263" t="s">
        <v>54</v>
      </c>
      <c r="H5" s="263" t="s">
        <v>431</v>
      </c>
      <c r="I5" s="263" t="s">
        <v>439</v>
      </c>
      <c r="J5" s="263" t="s">
        <v>440</v>
      </c>
    </row>
    <row r="6" spans="1:10">
      <c r="A6" s="268"/>
      <c r="B6" s="261"/>
      <c r="C6" s="268"/>
      <c r="D6" s="269"/>
      <c r="E6" s="270"/>
      <c r="F6" s="270"/>
      <c r="G6" s="271"/>
      <c r="H6" s="85">
        <v>0.10059999999999999</v>
      </c>
      <c r="I6" s="273"/>
      <c r="J6" s="273"/>
    </row>
    <row r="7" spans="1:10">
      <c r="A7" s="264" t="s">
        <v>245</v>
      </c>
      <c r="B7" s="265" t="s">
        <v>438</v>
      </c>
      <c r="C7" s="268"/>
      <c r="D7" s="269"/>
      <c r="E7" s="275"/>
      <c r="F7" s="266"/>
      <c r="G7" s="267"/>
      <c r="H7" s="273"/>
      <c r="I7" s="273"/>
      <c r="J7" s="273"/>
    </row>
    <row r="8" spans="1:10">
      <c r="A8" s="268" t="s">
        <v>41</v>
      </c>
      <c r="B8" s="265" t="s">
        <v>391</v>
      </c>
      <c r="C8" s="268"/>
      <c r="D8" s="269"/>
      <c r="E8" s="275"/>
      <c r="F8" s="266">
        <f>SUM(F9:F10)</f>
        <v>128758.89600000001</v>
      </c>
      <c r="G8" s="267">
        <f>SUM(G9:G10)</f>
        <v>6.5420560747663545E-2</v>
      </c>
      <c r="H8" s="273"/>
      <c r="I8" s="266">
        <f>$F$8*(1+$H$6)^10</f>
        <v>335793.5339291179</v>
      </c>
      <c r="J8" s="266">
        <f>$F$8*(1+$H$6)^25</f>
        <v>1414213.426790243</v>
      </c>
    </row>
    <row r="9" spans="1:10">
      <c r="A9" s="268" t="s">
        <v>128</v>
      </c>
      <c r="B9" s="261" t="s">
        <v>395</v>
      </c>
      <c r="C9" s="268" t="s">
        <v>250</v>
      </c>
      <c r="D9" s="269">
        <v>9000</v>
      </c>
      <c r="E9" s="270">
        <v>1.23</v>
      </c>
      <c r="F9" s="293">
        <f t="shared" ref="F9:F10" si="0">(D9*E9)*1.2312</f>
        <v>13629.384</v>
      </c>
      <c r="G9" s="271">
        <f>F9/$F$16</f>
        <v>6.9248958450624926E-3</v>
      </c>
      <c r="H9" s="273"/>
      <c r="I9" s="273" t="s">
        <v>378</v>
      </c>
      <c r="J9" s="273"/>
    </row>
    <row r="10" spans="1:10">
      <c r="A10" s="268" t="s">
        <v>368</v>
      </c>
      <c r="B10" s="261" t="s">
        <v>396</v>
      </c>
      <c r="C10" s="268" t="s">
        <v>250</v>
      </c>
      <c r="D10" s="269">
        <v>9000</v>
      </c>
      <c r="E10" s="270">
        <v>10.39</v>
      </c>
      <c r="F10" s="293">
        <f t="shared" si="0"/>
        <v>115129.512</v>
      </c>
      <c r="G10" s="271">
        <f>F10/$F$16</f>
        <v>5.8495664902601052E-2</v>
      </c>
      <c r="H10" s="273"/>
      <c r="I10" s="273" t="s">
        <v>331</v>
      </c>
      <c r="J10" s="273"/>
    </row>
    <row r="11" spans="1:10">
      <c r="A11" s="268"/>
      <c r="B11" s="265"/>
      <c r="C11" s="264"/>
      <c r="D11" s="276"/>
      <c r="E11" s="276"/>
      <c r="F11" s="272"/>
      <c r="G11" s="273"/>
      <c r="H11" s="273"/>
      <c r="I11" s="273"/>
      <c r="J11" s="273"/>
    </row>
    <row r="12" spans="1:10" ht="24">
      <c r="A12" s="264" t="s">
        <v>322</v>
      </c>
      <c r="B12" s="389" t="s">
        <v>397</v>
      </c>
      <c r="C12" s="264"/>
      <c r="D12" s="276"/>
      <c r="E12" s="276">
        <v>0</v>
      </c>
      <c r="F12" s="266">
        <f>SUM(F13:F14)</f>
        <v>1839412.8000000003</v>
      </c>
      <c r="G12" s="267">
        <f>SUM(G13:G14)</f>
        <v>0.93457943925233644</v>
      </c>
      <c r="H12" s="273"/>
      <c r="I12" s="273"/>
      <c r="J12" s="273"/>
    </row>
    <row r="13" spans="1:10">
      <c r="A13" s="268" t="s">
        <v>324</v>
      </c>
      <c r="B13" s="261" t="s">
        <v>393</v>
      </c>
      <c r="C13" s="268" t="s">
        <v>257</v>
      </c>
      <c r="D13" s="274">
        <v>360</v>
      </c>
      <c r="E13" s="270">
        <v>1800</v>
      </c>
      <c r="F13" s="293">
        <f t="shared" ref="F13:F14" si="1">(D13*E13)*1.2312</f>
        <v>797817.60000000009</v>
      </c>
      <c r="G13" s="271">
        <f>F13/$F$16</f>
        <v>0.40535975678414593</v>
      </c>
      <c r="H13" s="273"/>
      <c r="I13" s="273"/>
      <c r="J13" s="273"/>
    </row>
    <row r="14" spans="1:10">
      <c r="A14" s="268" t="s">
        <v>386</v>
      </c>
      <c r="B14" s="261" t="s">
        <v>392</v>
      </c>
      <c r="C14" s="268" t="s">
        <v>257</v>
      </c>
      <c r="D14" s="274">
        <f>D13</f>
        <v>360</v>
      </c>
      <c r="E14" s="270">
        <v>2350</v>
      </c>
      <c r="F14" s="293">
        <f t="shared" si="1"/>
        <v>1041595.2000000001</v>
      </c>
      <c r="G14" s="271">
        <f>F14/$F$16</f>
        <v>0.52921968246819051</v>
      </c>
      <c r="H14" s="273"/>
      <c r="I14" s="273"/>
      <c r="J14" s="273"/>
    </row>
    <row r="15" spans="1:10">
      <c r="A15" s="268"/>
      <c r="B15" s="261"/>
      <c r="C15" s="268"/>
      <c r="D15" s="277"/>
      <c r="E15" s="272"/>
      <c r="F15" s="272"/>
      <c r="G15" s="273"/>
      <c r="H15" s="273"/>
      <c r="I15" s="273"/>
      <c r="J15" s="273"/>
    </row>
    <row r="16" spans="1:10">
      <c r="A16" s="260"/>
      <c r="B16" s="281" t="s">
        <v>28</v>
      </c>
      <c r="C16" s="281"/>
      <c r="D16" s="280"/>
      <c r="E16" s="280"/>
      <c r="F16" s="282">
        <f>F12+F8</f>
        <v>1968171.6960000002</v>
      </c>
      <c r="G16" s="283">
        <f>G12+G8</f>
        <v>1</v>
      </c>
      <c r="H16" s="273"/>
      <c r="I16" s="273"/>
      <c r="J16" s="273"/>
    </row>
  </sheetData>
  <mergeCells count="1">
    <mergeCell ref="B1:F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78"/>
  <sheetViews>
    <sheetView topLeftCell="A121" zoomScaleNormal="70" workbookViewId="0">
      <selection activeCell="A122" sqref="A122"/>
    </sheetView>
  </sheetViews>
  <sheetFormatPr baseColWidth="10" defaultColWidth="8.83203125" defaultRowHeight="15"/>
  <cols>
    <col min="2" max="2" width="26.5" bestFit="1" customWidth="1"/>
    <col min="3" max="3" width="12.5" bestFit="1" customWidth="1"/>
    <col min="4" max="4" width="14.83203125" bestFit="1" customWidth="1"/>
    <col min="5" max="5" width="12.83203125" bestFit="1" customWidth="1"/>
    <col min="6" max="6" width="20.33203125" bestFit="1" customWidth="1"/>
    <col min="7" max="7" width="16.5" customWidth="1"/>
    <col min="8" max="8" width="16.1640625" customWidth="1"/>
    <col min="9" max="9" width="18.1640625" bestFit="1" customWidth="1"/>
    <col min="10" max="10" width="18.83203125" customWidth="1"/>
    <col min="11" max="11" width="11.83203125" customWidth="1"/>
    <col min="12" max="13" width="12.5" customWidth="1"/>
    <col min="16" max="16" width="12.5" customWidth="1"/>
    <col min="17" max="17" width="20" bestFit="1" customWidth="1"/>
    <col min="18" max="18" width="36" bestFit="1" customWidth="1"/>
  </cols>
  <sheetData>
    <row r="1" spans="1:23" ht="16" thickBot="1">
      <c r="A1" s="453" t="s">
        <v>48</v>
      </c>
      <c r="B1" s="453"/>
      <c r="C1" s="453"/>
      <c r="D1" s="453"/>
      <c r="E1" s="99"/>
      <c r="H1" s="419"/>
    </row>
    <row r="2" spans="1:23" ht="14.25" customHeight="1">
      <c r="A2" s="20" t="s">
        <v>37</v>
      </c>
      <c r="B2" s="21" t="s">
        <v>38</v>
      </c>
      <c r="C2" s="22" t="s">
        <v>39</v>
      </c>
      <c r="D2" s="22" t="s">
        <v>29</v>
      </c>
      <c r="H2" s="59"/>
    </row>
    <row r="3" spans="1:23">
      <c r="A3" s="18">
        <v>1</v>
      </c>
      <c r="B3" s="19" t="s">
        <v>47</v>
      </c>
      <c r="C3" s="420">
        <v>504178</v>
      </c>
      <c r="D3" s="19" t="s">
        <v>40</v>
      </c>
      <c r="E3" t="s">
        <v>36</v>
      </c>
    </row>
    <row r="4" spans="1:23">
      <c r="A4" s="18" t="s">
        <v>41</v>
      </c>
      <c r="B4" s="19" t="s">
        <v>42</v>
      </c>
      <c r="C4" s="67">
        <v>0.85</v>
      </c>
      <c r="D4" s="19" t="s">
        <v>43</v>
      </c>
      <c r="E4" t="s">
        <v>36</v>
      </c>
    </row>
    <row r="5" spans="1:23">
      <c r="A5" s="18" t="s">
        <v>44</v>
      </c>
      <c r="B5" s="19" t="s">
        <v>45</v>
      </c>
      <c r="C5" s="67">
        <f>C3*C4/1000</f>
        <v>428.55129999999997</v>
      </c>
      <c r="D5" s="19" t="s">
        <v>46</v>
      </c>
      <c r="E5" t="s">
        <v>36</v>
      </c>
    </row>
    <row r="6" spans="1:23">
      <c r="A6" s="5">
        <v>1.3</v>
      </c>
      <c r="B6" s="19" t="s">
        <v>236</v>
      </c>
      <c r="C6" s="155">
        <f>C5*365/300</f>
        <v>521.40408166666657</v>
      </c>
      <c r="D6" s="19" t="s">
        <v>237</v>
      </c>
      <c r="E6" t="s">
        <v>238</v>
      </c>
    </row>
    <row r="8" spans="1:23" ht="16" thickBot="1">
      <c r="A8" s="456" t="s">
        <v>81</v>
      </c>
      <c r="B8" s="456"/>
      <c r="C8" s="456"/>
      <c r="D8" s="456"/>
      <c r="E8" s="456"/>
      <c r="F8" s="456"/>
    </row>
    <row r="9" spans="1:23" ht="16" thickBot="1">
      <c r="A9" s="20" t="s">
        <v>37</v>
      </c>
      <c r="B9" s="22" t="s">
        <v>53</v>
      </c>
      <c r="C9" s="34" t="s">
        <v>54</v>
      </c>
      <c r="D9" s="444" t="s">
        <v>55</v>
      </c>
      <c r="E9" s="445"/>
      <c r="F9" s="446"/>
      <c r="G9" s="447" t="s">
        <v>241</v>
      </c>
      <c r="H9" s="448"/>
      <c r="I9" s="448"/>
      <c r="J9" s="449"/>
      <c r="Q9" t="s">
        <v>112</v>
      </c>
      <c r="R9" t="s">
        <v>113</v>
      </c>
    </row>
    <row r="10" spans="1:23" ht="16" thickBot="1">
      <c r="A10" s="25"/>
      <c r="B10" s="30"/>
      <c r="C10" s="35"/>
      <c r="D10" s="29" t="s">
        <v>56</v>
      </c>
      <c r="E10" s="5" t="s">
        <v>82</v>
      </c>
      <c r="F10" s="31" t="s">
        <v>57</v>
      </c>
      <c r="G10" s="159" t="s">
        <v>83</v>
      </c>
      <c r="H10" s="5" t="s">
        <v>86</v>
      </c>
      <c r="I10" s="160" t="s">
        <v>84</v>
      </c>
      <c r="J10" s="160" t="s">
        <v>85</v>
      </c>
      <c r="Q10" s="59">
        <v>0.31900000000000001</v>
      </c>
      <c r="R10" s="59">
        <v>0.24479999999999999</v>
      </c>
      <c r="W10" s="156"/>
    </row>
    <row r="11" spans="1:23" ht="16" thickBot="1">
      <c r="A11" s="32">
        <v>1</v>
      </c>
      <c r="B11" s="33" t="s">
        <v>58</v>
      </c>
      <c r="C11" s="28">
        <f>$C$14*0.438</f>
        <v>4.4019000000000003E-2</v>
      </c>
      <c r="D11" s="17">
        <f>$C$6*C11</f>
        <v>22.951686270884998</v>
      </c>
      <c r="E11" s="17">
        <f>F11/12</f>
        <v>573.79215677212494</v>
      </c>
      <c r="F11" s="17">
        <f>$C$5*365*C11</f>
        <v>6885.5058812654997</v>
      </c>
      <c r="G11" s="161">
        <v>654</v>
      </c>
      <c r="H11" s="161">
        <f>G11*D11</f>
        <v>15010.402821158788</v>
      </c>
      <c r="I11" s="161">
        <f>G11*E11</f>
        <v>375260.07052896969</v>
      </c>
      <c r="J11" s="161">
        <f>G11*F11</f>
        <v>4503120.8463476365</v>
      </c>
      <c r="W11" s="156"/>
    </row>
    <row r="12" spans="1:23" ht="16" thickBot="1">
      <c r="A12" s="18">
        <v>2</v>
      </c>
      <c r="B12" s="19" t="s">
        <v>59</v>
      </c>
      <c r="C12" s="28">
        <f>$C$14*0.505</f>
        <v>5.0752500000000006E-2</v>
      </c>
      <c r="D12" s="17">
        <f t="shared" ref="D12:D37" si="0">$C$6*C12</f>
        <v>26.462560654787499</v>
      </c>
      <c r="E12" s="17">
        <f t="shared" ref="E12:E37" si="1">F12/12</f>
        <v>661.56401636968747</v>
      </c>
      <c r="F12" s="17">
        <f t="shared" ref="F12:F37" si="2">$C$5*365*C12</f>
        <v>7938.76819643625</v>
      </c>
      <c r="G12" s="161">
        <v>298</v>
      </c>
      <c r="H12" s="161">
        <f t="shared" ref="H12:H36" si="3">G12*D12</f>
        <v>7885.8430751266742</v>
      </c>
      <c r="I12" s="161">
        <f t="shared" ref="I12:I36" si="4">G12*E12</f>
        <v>197146.07687816687</v>
      </c>
      <c r="J12" s="161">
        <f t="shared" ref="J12:J36" si="5">G12*F12</f>
        <v>2365752.9225380025</v>
      </c>
      <c r="P12" s="441" t="s">
        <v>114</v>
      </c>
      <c r="Q12" s="442"/>
      <c r="R12" s="443"/>
      <c r="W12" s="156"/>
    </row>
    <row r="13" spans="1:23" ht="16" thickBot="1">
      <c r="A13" s="18">
        <v>3</v>
      </c>
      <c r="B13" s="19" t="s">
        <v>60</v>
      </c>
      <c r="C13" s="28">
        <f>$C$14*0.0559</f>
        <v>5.61795E-3</v>
      </c>
      <c r="D13" s="17">
        <f t="shared" si="0"/>
        <v>2.9292220605992494</v>
      </c>
      <c r="E13" s="17">
        <f t="shared" si="1"/>
        <v>73.230551514981244</v>
      </c>
      <c r="F13" s="17">
        <f t="shared" si="2"/>
        <v>878.76661817977492</v>
      </c>
      <c r="G13" s="161">
        <v>298</v>
      </c>
      <c r="H13" s="161">
        <f t="shared" si="3"/>
        <v>872.90817405857626</v>
      </c>
      <c r="I13" s="161">
        <f t="shared" si="4"/>
        <v>21822.70435146441</v>
      </c>
      <c r="J13" s="161">
        <f t="shared" si="5"/>
        <v>261872.45221757292</v>
      </c>
      <c r="P13" s="60" t="s">
        <v>239</v>
      </c>
      <c r="Q13" s="60" t="s">
        <v>109</v>
      </c>
      <c r="R13" s="57" t="s">
        <v>111</v>
      </c>
      <c r="W13" s="157"/>
    </row>
    <row r="14" spans="1:23" ht="16" thickBot="1">
      <c r="A14" s="18"/>
      <c r="B14" s="23" t="s">
        <v>61</v>
      </c>
      <c r="C14" s="1">
        <v>0.10050000000000001</v>
      </c>
      <c r="D14" s="24">
        <f t="shared" si="0"/>
        <v>52.401110207499997</v>
      </c>
      <c r="E14" s="24">
        <f t="shared" si="1"/>
        <v>1310.0277551874999</v>
      </c>
      <c r="F14" s="24">
        <f t="shared" si="2"/>
        <v>15720.33306225</v>
      </c>
      <c r="G14" s="162">
        <f>(G11*C11+G12*C12+G13*C13)/C14</f>
        <v>453.60020000000003</v>
      </c>
      <c r="H14" s="162">
        <f t="shared" ref="H14" si="6">G14*D14</f>
        <v>23769.154070344041</v>
      </c>
      <c r="I14" s="162">
        <f t="shared" ref="I14" si="7">G14*E14</f>
        <v>594228.85175860103</v>
      </c>
      <c r="J14" s="162">
        <f t="shared" ref="J14" si="8">G14*F14</f>
        <v>7130746.2211032128</v>
      </c>
      <c r="P14" s="55" t="s">
        <v>104</v>
      </c>
      <c r="Q14" s="58">
        <v>2.3E-2</v>
      </c>
      <c r="R14" s="154">
        <f t="shared" ref="R14:R19" si="9">Q14*$R$10/$Q$10</f>
        <v>1.765015673981191E-2</v>
      </c>
      <c r="W14" s="156"/>
    </row>
    <row r="15" spans="1:23" ht="16" thickBot="1">
      <c r="A15" s="18">
        <v>1</v>
      </c>
      <c r="B15" s="19" t="s">
        <v>240</v>
      </c>
      <c r="C15" s="28">
        <v>3.5299999999999998E-2</v>
      </c>
      <c r="D15" s="17">
        <f t="shared" si="0"/>
        <v>18.40556408283333</v>
      </c>
      <c r="E15" s="17">
        <f t="shared" si="1"/>
        <v>460.1391020708333</v>
      </c>
      <c r="F15" s="17">
        <f t="shared" si="2"/>
        <v>5521.6692248499994</v>
      </c>
      <c r="G15" s="161">
        <v>715</v>
      </c>
      <c r="H15" s="161">
        <f t="shared" si="3"/>
        <v>13159.978319225831</v>
      </c>
      <c r="I15" s="161">
        <f t="shared" si="4"/>
        <v>328999.45798064582</v>
      </c>
      <c r="J15" s="161">
        <f t="shared" si="5"/>
        <v>3947993.4957677494</v>
      </c>
      <c r="P15" s="56" t="s">
        <v>105</v>
      </c>
      <c r="Q15" s="58">
        <v>6.0000000000000001E-3</v>
      </c>
      <c r="R15" s="154">
        <f t="shared" si="9"/>
        <v>4.6043887147335424E-3</v>
      </c>
      <c r="W15" s="156"/>
    </row>
    <row r="16" spans="1:23" ht="46" thickBot="1">
      <c r="A16" s="18">
        <v>2</v>
      </c>
      <c r="B16" s="19" t="s">
        <v>103</v>
      </c>
      <c r="C16" s="28"/>
      <c r="D16" s="17">
        <f t="shared" si="0"/>
        <v>0</v>
      </c>
      <c r="E16" s="17">
        <f t="shared" si="1"/>
        <v>0</v>
      </c>
      <c r="F16" s="17">
        <f t="shared" si="2"/>
        <v>0</v>
      </c>
      <c r="G16" s="161"/>
      <c r="H16" s="161">
        <f t="shared" si="3"/>
        <v>0</v>
      </c>
      <c r="I16" s="161">
        <f t="shared" si="4"/>
        <v>0</v>
      </c>
      <c r="J16" s="161">
        <f t="shared" si="5"/>
        <v>0</v>
      </c>
      <c r="P16" s="56" t="s">
        <v>106</v>
      </c>
      <c r="Q16" s="58">
        <v>0.13100000000000001</v>
      </c>
      <c r="R16" s="154">
        <f t="shared" si="9"/>
        <v>0.10052915360501567</v>
      </c>
      <c r="W16" s="156"/>
    </row>
    <row r="17" spans="1:23" ht="16" thickBot="1">
      <c r="A17" s="18">
        <v>3</v>
      </c>
      <c r="B17" s="19" t="s">
        <v>62</v>
      </c>
      <c r="C17" s="28">
        <v>6.83E-2</v>
      </c>
      <c r="D17" s="17">
        <f t="shared" si="0"/>
        <v>35.611898777833325</v>
      </c>
      <c r="E17" s="17">
        <f t="shared" si="1"/>
        <v>890.29746944583314</v>
      </c>
      <c r="F17" s="17">
        <f t="shared" si="2"/>
        <v>10683.569633349998</v>
      </c>
      <c r="G17" s="161">
        <v>1200</v>
      </c>
      <c r="H17" s="161">
        <f t="shared" si="3"/>
        <v>42734.278533399993</v>
      </c>
      <c r="I17" s="161">
        <f t="shared" si="4"/>
        <v>1068356.9633349997</v>
      </c>
      <c r="J17" s="161">
        <f t="shared" si="5"/>
        <v>12820283.560019998</v>
      </c>
      <c r="P17" s="56" t="s">
        <v>107</v>
      </c>
      <c r="Q17" s="58">
        <v>8.8999999999999996E-2</v>
      </c>
      <c r="R17" s="154">
        <f t="shared" si="9"/>
        <v>6.8298432601880871E-2</v>
      </c>
      <c r="W17" s="157"/>
    </row>
    <row r="18" spans="1:23" ht="31" thickBot="1">
      <c r="A18" s="18"/>
      <c r="B18" s="23" t="s">
        <v>63</v>
      </c>
      <c r="C18" s="1">
        <f>SUM(C15:C17)</f>
        <v>0.1036</v>
      </c>
      <c r="D18" s="24">
        <f t="shared" si="0"/>
        <v>54.017462860666654</v>
      </c>
      <c r="E18" s="24">
        <f t="shared" si="1"/>
        <v>1350.4365715166666</v>
      </c>
      <c r="F18" s="24">
        <f t="shared" si="2"/>
        <v>16205.238858199999</v>
      </c>
      <c r="G18" s="162">
        <f>(G15*C15+G16*C16+G17*C17)/C18</f>
        <v>1034.7442084942086</v>
      </c>
      <c r="H18" s="162">
        <f t="shared" ref="H18" si="10">G18*D18</f>
        <v>55894.256852625826</v>
      </c>
      <c r="I18" s="162">
        <f t="shared" ref="I18" si="11">G18*E18</f>
        <v>1397356.4213156458</v>
      </c>
      <c r="J18" s="162">
        <f t="shared" ref="J18" si="12">G18*F18</f>
        <v>16768277.05578775</v>
      </c>
      <c r="P18" s="56" t="s">
        <v>108</v>
      </c>
      <c r="Q18" s="58">
        <v>4.5999999999999999E-2</v>
      </c>
      <c r="R18" s="154">
        <f t="shared" si="9"/>
        <v>3.530031347962382E-2</v>
      </c>
      <c r="W18" s="156"/>
    </row>
    <row r="19" spans="1:23" ht="16" thickBot="1">
      <c r="A19" s="18">
        <v>1</v>
      </c>
      <c r="B19" s="19" t="s">
        <v>105</v>
      </c>
      <c r="C19" s="28">
        <v>4.5999999999999999E-3</v>
      </c>
      <c r="D19" s="17">
        <f t="shared" si="0"/>
        <v>2.3984587756666662</v>
      </c>
      <c r="E19" s="17">
        <f t="shared" si="1"/>
        <v>59.961469391666661</v>
      </c>
      <c r="F19" s="17">
        <f t="shared" si="2"/>
        <v>719.5376326999999</v>
      </c>
      <c r="G19" s="161">
        <v>4150</v>
      </c>
      <c r="H19" s="161">
        <f t="shared" si="3"/>
        <v>9953.6039190166648</v>
      </c>
      <c r="I19" s="161">
        <f t="shared" si="4"/>
        <v>248840.09797541663</v>
      </c>
      <c r="J19" s="161">
        <f t="shared" si="5"/>
        <v>2986081.1757049998</v>
      </c>
      <c r="P19" s="56" t="s">
        <v>110</v>
      </c>
      <c r="Q19" s="58">
        <v>2.4E-2</v>
      </c>
      <c r="R19" s="154">
        <f t="shared" si="9"/>
        <v>1.8417554858934169E-2</v>
      </c>
      <c r="W19" s="156"/>
    </row>
    <row r="20" spans="1:23" ht="16" thickBot="1">
      <c r="A20" s="18">
        <v>2</v>
      </c>
      <c r="B20" s="19" t="s">
        <v>104</v>
      </c>
      <c r="C20" s="28">
        <v>1.77E-2</v>
      </c>
      <c r="D20" s="17">
        <f t="shared" si="0"/>
        <v>9.2288522454999988</v>
      </c>
      <c r="E20" s="17">
        <f t="shared" si="1"/>
        <v>230.72130613749997</v>
      </c>
      <c r="F20" s="17">
        <f t="shared" si="2"/>
        <v>2768.6556736499997</v>
      </c>
      <c r="G20" s="161">
        <v>120</v>
      </c>
      <c r="H20" s="161">
        <f t="shared" si="3"/>
        <v>1107.4622694599998</v>
      </c>
      <c r="I20" s="161">
        <f t="shared" si="4"/>
        <v>27686.556736499995</v>
      </c>
      <c r="J20" s="161">
        <f t="shared" si="5"/>
        <v>332238.68083799997</v>
      </c>
      <c r="P20" s="55" t="s">
        <v>30</v>
      </c>
      <c r="Q20" s="70">
        <f>SUM(Q14:Q19)</f>
        <v>0.31900000000000001</v>
      </c>
      <c r="R20" s="71">
        <f>SUM(R14:R19)</f>
        <v>0.24479999999999999</v>
      </c>
      <c r="W20" s="157"/>
    </row>
    <row r="21" spans="1:23">
      <c r="A21" s="18"/>
      <c r="B21" s="23" t="s">
        <v>70</v>
      </c>
      <c r="C21" s="1">
        <f>SUM(C19:C20)</f>
        <v>2.23E-2</v>
      </c>
      <c r="D21" s="24">
        <f t="shared" si="0"/>
        <v>11.627311021166665</v>
      </c>
      <c r="E21" s="24">
        <f t="shared" si="1"/>
        <v>290.68277552916663</v>
      </c>
      <c r="F21" s="24">
        <f t="shared" si="2"/>
        <v>3488.1933063499996</v>
      </c>
      <c r="G21" s="162">
        <f>(G19*C19+G20*C20)/C21</f>
        <v>951.30044843049325</v>
      </c>
      <c r="H21" s="162">
        <f t="shared" ref="H21" si="13">G21*D21</f>
        <v>11061.066188476665</v>
      </c>
      <c r="I21" s="162">
        <f t="shared" ref="I21" si="14">G21*E21</f>
        <v>276526.65471191664</v>
      </c>
      <c r="J21" s="162">
        <f t="shared" ref="J21" si="15">G21*F21</f>
        <v>3318319.8565429994</v>
      </c>
      <c r="W21" s="156"/>
    </row>
    <row r="22" spans="1:23">
      <c r="A22" s="18">
        <v>1</v>
      </c>
      <c r="B22" s="19" t="s">
        <v>71</v>
      </c>
      <c r="C22" s="28"/>
      <c r="D22" s="17">
        <f t="shared" si="0"/>
        <v>0</v>
      </c>
      <c r="E22" s="17">
        <f t="shared" si="1"/>
        <v>0</v>
      </c>
      <c r="F22" s="17">
        <f t="shared" si="2"/>
        <v>0</v>
      </c>
      <c r="G22" s="161"/>
      <c r="H22" s="161">
        <f t="shared" si="3"/>
        <v>0</v>
      </c>
      <c r="I22" s="161">
        <f t="shared" si="4"/>
        <v>0</v>
      </c>
      <c r="J22" s="161">
        <f t="shared" si="5"/>
        <v>0</v>
      </c>
      <c r="W22" s="156"/>
    </row>
    <row r="23" spans="1:23">
      <c r="A23" s="18">
        <v>2</v>
      </c>
      <c r="B23" s="19" t="s">
        <v>72</v>
      </c>
      <c r="C23" s="28"/>
      <c r="D23" s="17">
        <f t="shared" si="0"/>
        <v>0</v>
      </c>
      <c r="E23" s="17">
        <f t="shared" si="1"/>
        <v>0</v>
      </c>
      <c r="F23" s="17">
        <f t="shared" si="2"/>
        <v>0</v>
      </c>
      <c r="G23" s="161"/>
      <c r="H23" s="161">
        <f t="shared" si="3"/>
        <v>0</v>
      </c>
      <c r="I23" s="161">
        <f t="shared" si="4"/>
        <v>0</v>
      </c>
      <c r="J23" s="161">
        <f t="shared" si="5"/>
        <v>0</v>
      </c>
      <c r="W23" s="156"/>
    </row>
    <row r="24" spans="1:23">
      <c r="A24" s="18">
        <v>3</v>
      </c>
      <c r="B24" s="19" t="s">
        <v>73</v>
      </c>
      <c r="C24" s="28"/>
      <c r="D24" s="17">
        <f t="shared" si="0"/>
        <v>0</v>
      </c>
      <c r="E24" s="17">
        <f t="shared" si="1"/>
        <v>0</v>
      </c>
      <c r="F24" s="17">
        <f t="shared" si="2"/>
        <v>0</v>
      </c>
      <c r="G24" s="161"/>
      <c r="H24" s="161">
        <f t="shared" si="3"/>
        <v>0</v>
      </c>
      <c r="I24" s="161">
        <f t="shared" si="4"/>
        <v>0</v>
      </c>
      <c r="J24" s="161">
        <f t="shared" si="5"/>
        <v>0</v>
      </c>
      <c r="W24" s="156"/>
    </row>
    <row r="25" spans="1:23">
      <c r="A25" s="18">
        <v>4</v>
      </c>
      <c r="B25" s="19" t="s">
        <v>74</v>
      </c>
      <c r="C25" s="28">
        <v>1.84E-2</v>
      </c>
      <c r="D25" s="17">
        <f t="shared" si="0"/>
        <v>9.5938351026666648</v>
      </c>
      <c r="E25" s="17">
        <f t="shared" si="1"/>
        <v>239.84587756666664</v>
      </c>
      <c r="F25" s="17">
        <f t="shared" si="2"/>
        <v>2878.1505307999996</v>
      </c>
      <c r="G25" s="161">
        <v>0</v>
      </c>
      <c r="H25" s="161">
        <f t="shared" si="3"/>
        <v>0</v>
      </c>
      <c r="I25" s="161">
        <f t="shared" si="4"/>
        <v>0</v>
      </c>
      <c r="J25" s="161">
        <f t="shared" si="5"/>
        <v>0</v>
      </c>
      <c r="W25" s="156"/>
    </row>
    <row r="26" spans="1:23">
      <c r="A26" s="18">
        <v>5</v>
      </c>
      <c r="B26" s="19" t="s">
        <v>75</v>
      </c>
      <c r="C26" s="28"/>
      <c r="D26" s="17">
        <f t="shared" si="0"/>
        <v>0</v>
      </c>
      <c r="E26" s="17">
        <f t="shared" si="1"/>
        <v>0</v>
      </c>
      <c r="F26" s="17">
        <f t="shared" si="2"/>
        <v>0</v>
      </c>
      <c r="G26" s="161">
        <v>0</v>
      </c>
      <c r="H26" s="161">
        <f t="shared" si="3"/>
        <v>0</v>
      </c>
      <c r="I26" s="161">
        <f t="shared" si="4"/>
        <v>0</v>
      </c>
      <c r="J26" s="161">
        <f t="shared" si="5"/>
        <v>0</v>
      </c>
      <c r="W26" s="157"/>
    </row>
    <row r="27" spans="1:23">
      <c r="A27" s="18"/>
      <c r="B27" s="23" t="s">
        <v>76</v>
      </c>
      <c r="C27" s="1">
        <f>SUM(C22:C26)</f>
        <v>1.84E-2</v>
      </c>
      <c r="D27" s="24">
        <f t="shared" si="0"/>
        <v>9.5938351026666648</v>
      </c>
      <c r="E27" s="24">
        <f t="shared" si="1"/>
        <v>239.84587756666664</v>
      </c>
      <c r="F27" s="24">
        <f t="shared" si="2"/>
        <v>2878.1505307999996</v>
      </c>
      <c r="G27" s="162">
        <f>(G22*C22+G23*C23+G24*C24+G25*C25+G26*C26)/C27</f>
        <v>0</v>
      </c>
      <c r="H27" s="162">
        <f t="shared" ref="H27" si="16">G27*D27</f>
        <v>0</v>
      </c>
      <c r="I27" s="162">
        <f t="shared" ref="I27" si="17">G27*E27</f>
        <v>0</v>
      </c>
      <c r="J27" s="162">
        <f t="shared" ref="J27" si="18">G27*F27</f>
        <v>0</v>
      </c>
      <c r="W27" s="156"/>
    </row>
    <row r="28" spans="1:23">
      <c r="A28" s="18">
        <v>1</v>
      </c>
      <c r="B28" s="19" t="s">
        <v>77</v>
      </c>
      <c r="C28" s="28"/>
      <c r="D28" s="17">
        <f t="shared" si="0"/>
        <v>0</v>
      </c>
      <c r="E28" s="17">
        <f t="shared" si="1"/>
        <v>0</v>
      </c>
      <c r="F28" s="17">
        <f t="shared" si="2"/>
        <v>0</v>
      </c>
      <c r="G28" s="161"/>
      <c r="H28" s="161">
        <f t="shared" si="3"/>
        <v>0</v>
      </c>
      <c r="I28" s="161">
        <f t="shared" si="4"/>
        <v>0</v>
      </c>
      <c r="J28" s="161">
        <f t="shared" si="5"/>
        <v>0</v>
      </c>
      <c r="W28" s="156"/>
    </row>
    <row r="29" spans="1:23">
      <c r="A29" s="18">
        <v>2</v>
      </c>
      <c r="B29" s="19" t="s">
        <v>78</v>
      </c>
      <c r="C29" s="28"/>
      <c r="D29" s="17">
        <f t="shared" si="0"/>
        <v>0</v>
      </c>
      <c r="E29" s="17">
        <f t="shared" si="1"/>
        <v>0</v>
      </c>
      <c r="F29" s="17">
        <f t="shared" si="2"/>
        <v>0</v>
      </c>
      <c r="G29" s="161"/>
      <c r="H29" s="161">
        <f t="shared" si="3"/>
        <v>0</v>
      </c>
      <c r="I29" s="161">
        <f t="shared" si="4"/>
        <v>0</v>
      </c>
      <c r="J29" s="161">
        <f t="shared" si="5"/>
        <v>0</v>
      </c>
      <c r="W29" s="157"/>
    </row>
    <row r="30" spans="1:23">
      <c r="A30" s="18"/>
      <c r="B30" s="23" t="s">
        <v>79</v>
      </c>
      <c r="C30" s="1"/>
      <c r="D30" s="24">
        <f t="shared" si="0"/>
        <v>0</v>
      </c>
      <c r="E30" s="24">
        <f t="shared" si="1"/>
        <v>0</v>
      </c>
      <c r="F30" s="24">
        <f t="shared" si="2"/>
        <v>0</v>
      </c>
      <c r="G30" s="162"/>
      <c r="H30" s="162">
        <f t="shared" ref="H30:H31" si="19">G30*D30</f>
        <v>0</v>
      </c>
      <c r="I30" s="162">
        <f t="shared" ref="I30:I31" si="20">G30*E30</f>
        <v>0</v>
      </c>
      <c r="J30" s="162">
        <f t="shared" ref="J30:J31" si="21">G30*F30</f>
        <v>0</v>
      </c>
      <c r="W30" s="156"/>
    </row>
    <row r="31" spans="1:23">
      <c r="A31" s="18"/>
      <c r="B31" s="23" t="s">
        <v>100</v>
      </c>
      <c r="C31" s="1">
        <f>SUM(C14,C18,C21,C27)</f>
        <v>0.24479999999999999</v>
      </c>
      <c r="D31" s="24">
        <f t="shared" si="0"/>
        <v>127.63971919199997</v>
      </c>
      <c r="E31" s="24">
        <f t="shared" si="1"/>
        <v>3190.9929797999994</v>
      </c>
      <c r="F31" s="24">
        <f t="shared" si="2"/>
        <v>38291.915757599993</v>
      </c>
      <c r="G31" s="162">
        <f>(G14*C14+G18*C18+G21*C21+G27*C27)/C31</f>
        <v>710.78562132352954</v>
      </c>
      <c r="H31" s="162">
        <f t="shared" si="19"/>
        <v>90724.47711144654</v>
      </c>
      <c r="I31" s="162">
        <f t="shared" si="20"/>
        <v>2268111.9277861635</v>
      </c>
      <c r="J31" s="162">
        <f t="shared" si="21"/>
        <v>27217343.13343396</v>
      </c>
      <c r="W31" s="156"/>
    </row>
    <row r="32" spans="1:23">
      <c r="A32" s="18">
        <v>1</v>
      </c>
      <c r="B32" s="19" t="s">
        <v>64</v>
      </c>
      <c r="C32" s="28"/>
      <c r="D32" s="17">
        <f t="shared" si="0"/>
        <v>0</v>
      </c>
      <c r="E32" s="17">
        <f t="shared" si="1"/>
        <v>0</v>
      </c>
      <c r="F32" s="17">
        <f t="shared" si="2"/>
        <v>0</v>
      </c>
      <c r="G32" s="161"/>
      <c r="H32" s="161">
        <f t="shared" si="3"/>
        <v>0</v>
      </c>
      <c r="I32" s="161">
        <f t="shared" si="4"/>
        <v>0</v>
      </c>
      <c r="J32" s="161">
        <f t="shared" si="5"/>
        <v>0</v>
      </c>
      <c r="W32" s="156"/>
    </row>
    <row r="33" spans="1:23">
      <c r="A33" s="18">
        <v>2</v>
      </c>
      <c r="B33" s="19" t="s">
        <v>65</v>
      </c>
      <c r="C33" s="28"/>
      <c r="D33" s="17">
        <f t="shared" si="0"/>
        <v>0</v>
      </c>
      <c r="E33" s="17">
        <f t="shared" si="1"/>
        <v>0</v>
      </c>
      <c r="F33" s="17">
        <f t="shared" si="2"/>
        <v>0</v>
      </c>
      <c r="G33" s="161"/>
      <c r="H33" s="161">
        <f t="shared" si="3"/>
        <v>0</v>
      </c>
      <c r="I33" s="161">
        <f t="shared" si="4"/>
        <v>0</v>
      </c>
      <c r="J33" s="161">
        <f t="shared" si="5"/>
        <v>0</v>
      </c>
      <c r="W33" s="156"/>
    </row>
    <row r="34" spans="1:23">
      <c r="A34" s="18">
        <v>3</v>
      </c>
      <c r="B34" s="19" t="s">
        <v>66</v>
      </c>
      <c r="C34" s="28"/>
      <c r="D34" s="17">
        <f t="shared" si="0"/>
        <v>0</v>
      </c>
      <c r="E34" s="17">
        <f t="shared" si="1"/>
        <v>0</v>
      </c>
      <c r="F34" s="17">
        <f t="shared" si="2"/>
        <v>0</v>
      </c>
      <c r="G34" s="161"/>
      <c r="H34" s="161">
        <f t="shared" si="3"/>
        <v>0</v>
      </c>
      <c r="I34" s="161">
        <f t="shared" si="4"/>
        <v>0</v>
      </c>
      <c r="J34" s="161">
        <f t="shared" si="5"/>
        <v>0</v>
      </c>
      <c r="W34" s="158"/>
    </row>
    <row r="35" spans="1:23">
      <c r="A35" s="18">
        <v>4</v>
      </c>
      <c r="B35" s="19" t="s">
        <v>67</v>
      </c>
      <c r="C35" s="28"/>
      <c r="D35" s="17">
        <f t="shared" si="0"/>
        <v>0</v>
      </c>
      <c r="E35" s="17">
        <f t="shared" si="1"/>
        <v>0</v>
      </c>
      <c r="F35" s="17">
        <f t="shared" si="2"/>
        <v>0</v>
      </c>
      <c r="G35" s="161"/>
      <c r="H35" s="161">
        <f t="shared" si="3"/>
        <v>0</v>
      </c>
      <c r="I35" s="161">
        <f t="shared" si="4"/>
        <v>0</v>
      </c>
      <c r="J35" s="161">
        <f t="shared" si="5"/>
        <v>0</v>
      </c>
      <c r="W35" s="156"/>
    </row>
    <row r="36" spans="1:23">
      <c r="A36" s="18">
        <v>5</v>
      </c>
      <c r="B36" s="19" t="s">
        <v>68</v>
      </c>
      <c r="C36" s="28"/>
      <c r="D36" s="17">
        <f t="shared" si="0"/>
        <v>0</v>
      </c>
      <c r="E36" s="17">
        <f t="shared" si="1"/>
        <v>0</v>
      </c>
      <c r="F36" s="17">
        <f t="shared" si="2"/>
        <v>0</v>
      </c>
      <c r="G36" s="161"/>
      <c r="H36" s="161">
        <f t="shared" si="3"/>
        <v>0</v>
      </c>
      <c r="I36" s="161">
        <f t="shared" si="4"/>
        <v>0</v>
      </c>
      <c r="J36" s="161">
        <f t="shared" si="5"/>
        <v>0</v>
      </c>
      <c r="W36" s="157"/>
    </row>
    <row r="37" spans="1:23">
      <c r="A37" s="18"/>
      <c r="B37" s="23" t="s">
        <v>69</v>
      </c>
      <c r="C37" s="1"/>
      <c r="D37" s="24">
        <f t="shared" si="0"/>
        <v>0</v>
      </c>
      <c r="E37" s="24">
        <f t="shared" si="1"/>
        <v>0</v>
      </c>
      <c r="F37" s="24">
        <f t="shared" si="2"/>
        <v>0</v>
      </c>
      <c r="G37" s="162"/>
      <c r="H37" s="162"/>
      <c r="I37" s="162"/>
      <c r="J37" s="162"/>
      <c r="W37" s="157"/>
    </row>
    <row r="38" spans="1:23" ht="16" thickBot="1">
      <c r="A38" s="25"/>
      <c r="B38" s="26" t="s">
        <v>80</v>
      </c>
      <c r="C38" s="9">
        <f>SUM(C37+C30+C27+C21+C18+C14)</f>
        <v>0.24479999999999999</v>
      </c>
      <c r="D38" s="27">
        <f t="shared" ref="D38" si="22">C38*$C$5</f>
        <v>104.90935823999999</v>
      </c>
      <c r="E38" s="27">
        <f t="shared" ref="E38" si="23">D38*25</f>
        <v>2622.7339559999996</v>
      </c>
      <c r="F38" s="27">
        <f t="shared" ref="F38" si="24">D38*300</f>
        <v>31472.807471999997</v>
      </c>
      <c r="G38" s="163"/>
      <c r="H38" s="163"/>
      <c r="I38" s="163"/>
      <c r="J38" s="163"/>
    </row>
    <row r="41" spans="1:23">
      <c r="A41" s="454" t="s">
        <v>101</v>
      </c>
      <c r="B41" s="454"/>
      <c r="C41" s="454"/>
      <c r="D41" s="454"/>
      <c r="E41" s="454"/>
      <c r="F41" s="455"/>
      <c r="G41" s="455"/>
      <c r="H41" s="455"/>
      <c r="I41" s="454"/>
    </row>
    <row r="42" spans="1:23">
      <c r="C42" s="53" t="s">
        <v>49</v>
      </c>
      <c r="D42" s="452" t="s">
        <v>31</v>
      </c>
      <c r="E42" s="452"/>
      <c r="F42" s="3" t="s">
        <v>35</v>
      </c>
      <c r="G42" s="3" t="s">
        <v>87</v>
      </c>
      <c r="H42" s="2" t="s">
        <v>50</v>
      </c>
    </row>
    <row r="43" spans="1:23">
      <c r="C43" s="53"/>
      <c r="D43" s="52" t="s">
        <v>51</v>
      </c>
      <c r="E43" s="52" t="s">
        <v>52</v>
      </c>
      <c r="F43" s="3"/>
      <c r="G43" s="3"/>
      <c r="H43" s="2"/>
    </row>
    <row r="44" spans="1:23">
      <c r="A44" s="452" t="s">
        <v>32</v>
      </c>
      <c r="B44" s="452"/>
      <c r="C44" s="54">
        <v>0.24479999999999999</v>
      </c>
      <c r="D44" s="4">
        <f>$D$47*C44</f>
        <v>104.90935823999999</v>
      </c>
      <c r="E44" s="4">
        <f>D44*365/12</f>
        <v>3190.9929797999994</v>
      </c>
      <c r="F44" s="14">
        <f>I31</f>
        <v>2268111.9277861635</v>
      </c>
      <c r="G44" s="11">
        <f>G31</f>
        <v>710.78562132352954</v>
      </c>
      <c r="H44" s="12"/>
      <c r="I44" t="s">
        <v>102</v>
      </c>
    </row>
    <row r="45" spans="1:23">
      <c r="A45" s="452" t="s">
        <v>33</v>
      </c>
      <c r="B45" s="452"/>
      <c r="C45" s="54">
        <v>0.52590000000000003</v>
      </c>
      <c r="D45" s="4">
        <f>$D$47*C45</f>
        <v>225.37512867000001</v>
      </c>
      <c r="E45" s="4">
        <f>D45*365/12</f>
        <v>6855.1601637124995</v>
      </c>
      <c r="F45" s="14"/>
      <c r="G45" s="11"/>
      <c r="H45" s="12"/>
    </row>
    <row r="46" spans="1:23">
      <c r="A46" s="452" t="s">
        <v>34</v>
      </c>
      <c r="B46" s="452"/>
      <c r="C46" s="54">
        <v>0.2293</v>
      </c>
      <c r="D46" s="4">
        <f t="shared" ref="D46" si="25">$D$47*C46</f>
        <v>98.266813089999999</v>
      </c>
      <c r="E46" s="4">
        <f t="shared" ref="E46" si="26">D46*365/12</f>
        <v>2988.9488981541667</v>
      </c>
      <c r="F46" s="14"/>
      <c r="G46" s="11"/>
      <c r="H46" s="12"/>
    </row>
    <row r="47" spans="1:23">
      <c r="A47" s="457" t="s">
        <v>28</v>
      </c>
      <c r="B47" s="458"/>
      <c r="C47" s="16">
        <f>SUM(C44:C46)</f>
        <v>1</v>
      </c>
      <c r="D47" s="4">
        <f>C5</f>
        <v>428.55129999999997</v>
      </c>
      <c r="E47" s="4">
        <f>SUM(E44:E46)</f>
        <v>13035.102041666667</v>
      </c>
      <c r="F47" s="13">
        <f>SUM(F44:F46)</f>
        <v>2268111.9277861635</v>
      </c>
      <c r="G47" s="10"/>
      <c r="H47" s="15">
        <v>1</v>
      </c>
    </row>
    <row r="50" spans="1:13">
      <c r="G50">
        <f>12.5*8</f>
        <v>100</v>
      </c>
    </row>
    <row r="52" spans="1:13" ht="16" thickBot="1">
      <c r="M52" t="s">
        <v>235</v>
      </c>
    </row>
    <row r="53" spans="1:13" ht="16" thickBot="1">
      <c r="A53" s="433"/>
      <c r="B53" s="433"/>
      <c r="C53" s="436"/>
      <c r="D53" s="450"/>
      <c r="E53" s="450"/>
      <c r="F53" s="451"/>
      <c r="G53" s="61"/>
    </row>
    <row r="54" spans="1:13">
      <c r="A54" s="438"/>
      <c r="B54" s="438"/>
      <c r="C54" s="433"/>
      <c r="D54" s="433"/>
      <c r="E54" s="62"/>
      <c r="F54" s="433"/>
      <c r="G54" s="433"/>
    </row>
    <row r="55" spans="1:13" ht="32.25" customHeight="1" thickBot="1">
      <c r="A55" s="439"/>
      <c r="B55" s="439"/>
      <c r="C55" s="439"/>
      <c r="D55" s="439"/>
      <c r="E55" s="63"/>
      <c r="F55" s="439"/>
      <c r="G55" s="438"/>
    </row>
    <row r="56" spans="1:13" ht="16" thickBot="1">
      <c r="A56" s="64"/>
      <c r="B56" s="65">
        <v>504178</v>
      </c>
      <c r="C56" s="69">
        <f>B56*0.85/1000</f>
        <v>428.55129999999997</v>
      </c>
      <c r="D56" s="68"/>
      <c r="E56" s="69">
        <f>C56*365</f>
        <v>156421.22449999998</v>
      </c>
      <c r="F56" s="69"/>
      <c r="G56" s="69"/>
      <c r="I56" s="388">
        <f>C56*7/6</f>
        <v>499.97651666666661</v>
      </c>
    </row>
    <row r="57" spans="1:13" ht="16" thickBot="1">
      <c r="A57" s="64"/>
      <c r="B57" s="66">
        <v>511870.62</v>
      </c>
      <c r="C57" s="69">
        <f t="shared" ref="C57:C80" si="27">B57*0.85/1000</f>
        <v>435.09002700000002</v>
      </c>
      <c r="D57" s="68"/>
      <c r="E57" s="69">
        <f t="shared" ref="E57:E81" si="28">C57*365</f>
        <v>158807.85985500002</v>
      </c>
      <c r="F57" s="69"/>
      <c r="G57" s="69"/>
      <c r="I57" s="388">
        <f t="shared" ref="I57:I81" si="29">C57*7/6</f>
        <v>507.6050315</v>
      </c>
    </row>
    <row r="58" spans="1:13" ht="16" thickBot="1">
      <c r="A58" s="64"/>
      <c r="B58" s="66">
        <v>515760.83999999997</v>
      </c>
      <c r="C58" s="69">
        <f t="shared" si="27"/>
        <v>438.39671399999997</v>
      </c>
      <c r="D58" s="68"/>
      <c r="E58" s="69">
        <f t="shared" si="28"/>
        <v>160014.80060999998</v>
      </c>
      <c r="F58" s="69"/>
      <c r="G58" s="69"/>
      <c r="I58" s="388">
        <f t="shared" si="29"/>
        <v>511.46283299999999</v>
      </c>
    </row>
    <row r="59" spans="1:13" ht="16" thickBot="1">
      <c r="A59" s="64"/>
      <c r="B59" s="66">
        <v>519680.63</v>
      </c>
      <c r="C59" s="69">
        <f t="shared" si="27"/>
        <v>441.72853550000002</v>
      </c>
      <c r="D59" s="68"/>
      <c r="E59" s="69">
        <f t="shared" si="28"/>
        <v>161230.9154575</v>
      </c>
      <c r="F59" s="69"/>
      <c r="G59" s="69"/>
      <c r="I59" s="388">
        <f t="shared" si="29"/>
        <v>515.34995808333338</v>
      </c>
    </row>
    <row r="60" spans="1:13" ht="16" thickBot="1">
      <c r="A60" s="64"/>
      <c r="B60" s="66">
        <v>523630.2</v>
      </c>
      <c r="C60" s="69">
        <f t="shared" si="27"/>
        <v>445.08566999999999</v>
      </c>
      <c r="D60" s="68"/>
      <c r="E60" s="69">
        <f t="shared" si="28"/>
        <v>162456.26955</v>
      </c>
      <c r="F60" s="69"/>
      <c r="G60" s="69"/>
      <c r="I60" s="388">
        <f t="shared" si="29"/>
        <v>519.266615</v>
      </c>
    </row>
    <row r="61" spans="1:13" ht="16" thickBot="1">
      <c r="A61" s="64"/>
      <c r="B61" s="66">
        <v>527609.78</v>
      </c>
      <c r="C61" s="69">
        <f t="shared" si="27"/>
        <v>448.46831300000002</v>
      </c>
      <c r="D61" s="68"/>
      <c r="E61" s="69">
        <f t="shared" si="28"/>
        <v>163690.93424500001</v>
      </c>
      <c r="F61" s="69"/>
      <c r="G61" s="69"/>
      <c r="I61" s="388">
        <f t="shared" si="29"/>
        <v>523.21303183333339</v>
      </c>
    </row>
    <row r="62" spans="1:13" ht="16" thickBot="1">
      <c r="A62" s="64"/>
      <c r="B62" s="66">
        <v>531619.62</v>
      </c>
      <c r="C62" s="69">
        <f t="shared" si="27"/>
        <v>451.87667699999997</v>
      </c>
      <c r="D62" s="68"/>
      <c r="E62" s="69">
        <f t="shared" si="28"/>
        <v>164934.98710499998</v>
      </c>
      <c r="F62" s="69"/>
      <c r="G62" s="69"/>
      <c r="I62" s="388">
        <f t="shared" si="29"/>
        <v>527.18945649999989</v>
      </c>
      <c r="M62" t="s">
        <v>399</v>
      </c>
    </row>
    <row r="63" spans="1:13" ht="16" thickBot="1">
      <c r="A63" s="64"/>
      <c r="B63" s="66">
        <v>535659.92999999993</v>
      </c>
      <c r="C63" s="69">
        <f t="shared" si="27"/>
        <v>455.3109404999999</v>
      </c>
      <c r="D63" s="68"/>
      <c r="E63" s="69">
        <f t="shared" si="28"/>
        <v>166188.49328249996</v>
      </c>
      <c r="F63" s="69"/>
      <c r="G63" s="69"/>
      <c r="I63" s="388">
        <f t="shared" si="29"/>
        <v>531.19609724999987</v>
      </c>
    </row>
    <row r="64" spans="1:13" ht="16" thickBot="1">
      <c r="A64" s="64"/>
      <c r="B64" s="66">
        <v>539730.94999999995</v>
      </c>
      <c r="C64" s="69">
        <f t="shared" si="27"/>
        <v>458.77130749999992</v>
      </c>
      <c r="D64" s="68"/>
      <c r="E64" s="69">
        <f t="shared" si="28"/>
        <v>167451.52723749998</v>
      </c>
      <c r="F64" s="69"/>
      <c r="G64" s="69"/>
      <c r="I64" s="388">
        <f t="shared" si="29"/>
        <v>535.23319208333317</v>
      </c>
    </row>
    <row r="65" spans="1:9" ht="16" thickBot="1">
      <c r="A65" s="64"/>
      <c r="B65" s="66">
        <v>543832.89999999991</v>
      </c>
      <c r="C65" s="69">
        <f t="shared" si="27"/>
        <v>462.2579649999999</v>
      </c>
      <c r="D65" s="68"/>
      <c r="E65" s="69">
        <f t="shared" si="28"/>
        <v>168724.15722499997</v>
      </c>
      <c r="F65" s="69"/>
      <c r="G65" s="69"/>
      <c r="I65" s="388">
        <f t="shared" si="29"/>
        <v>539.30095916666653</v>
      </c>
    </row>
    <row r="66" spans="1:9" ht="16" thickBot="1">
      <c r="A66" s="64"/>
      <c r="B66" s="66">
        <v>547966.04</v>
      </c>
      <c r="C66" s="69">
        <f t="shared" si="27"/>
        <v>465.77113400000002</v>
      </c>
      <c r="D66" s="68"/>
      <c r="E66" s="69">
        <f t="shared" si="28"/>
        <v>170006.46391000002</v>
      </c>
      <c r="F66" s="69"/>
      <c r="G66" s="69"/>
      <c r="I66" s="388">
        <f t="shared" si="29"/>
        <v>543.39965633333338</v>
      </c>
    </row>
    <row r="67" spans="1:9" ht="16" thickBot="1">
      <c r="A67" s="64"/>
      <c r="B67" s="66">
        <v>552130.57999999996</v>
      </c>
      <c r="C67" s="69">
        <f t="shared" si="27"/>
        <v>469.31099299999994</v>
      </c>
      <c r="D67" s="68"/>
      <c r="E67" s="69">
        <f t="shared" si="28"/>
        <v>171298.51244499997</v>
      </c>
      <c r="F67" s="69"/>
      <c r="G67" s="69"/>
      <c r="I67" s="388">
        <f t="shared" si="29"/>
        <v>547.52949183333328</v>
      </c>
    </row>
    <row r="68" spans="1:9" ht="16" thickBot="1">
      <c r="A68" s="64"/>
      <c r="B68" s="65">
        <v>556326.77</v>
      </c>
      <c r="C68" s="69">
        <f t="shared" si="27"/>
        <v>472.87775449999998</v>
      </c>
      <c r="D68" s="68"/>
      <c r="E68" s="69">
        <f t="shared" si="28"/>
        <v>172600.3803925</v>
      </c>
      <c r="F68" s="69"/>
      <c r="G68" s="69"/>
      <c r="I68" s="388">
        <f t="shared" si="29"/>
        <v>551.69071358333338</v>
      </c>
    </row>
    <row r="69" spans="1:9" ht="16" thickBot="1">
      <c r="A69" s="64"/>
      <c r="B69" s="65">
        <v>560554.85000000009</v>
      </c>
      <c r="C69" s="69">
        <f t="shared" si="27"/>
        <v>476.47162250000008</v>
      </c>
      <c r="D69" s="68"/>
      <c r="E69" s="69">
        <f t="shared" si="28"/>
        <v>173912.14221250004</v>
      </c>
      <c r="F69" s="69"/>
      <c r="G69" s="69"/>
      <c r="I69" s="388">
        <f t="shared" si="29"/>
        <v>555.88355958333341</v>
      </c>
    </row>
    <row r="70" spans="1:9" ht="16" thickBot="1">
      <c r="A70" s="64"/>
      <c r="B70" s="65">
        <v>564815.06000000006</v>
      </c>
      <c r="C70" s="69">
        <f t="shared" si="27"/>
        <v>480.09280100000001</v>
      </c>
      <c r="D70" s="68"/>
      <c r="E70" s="69">
        <f t="shared" si="28"/>
        <v>175233.87236500002</v>
      </c>
      <c r="F70" s="69"/>
      <c r="G70" s="69"/>
      <c r="I70" s="388">
        <f t="shared" si="29"/>
        <v>560.10826783333334</v>
      </c>
    </row>
    <row r="71" spans="1:9" ht="16" thickBot="1">
      <c r="A71" s="64"/>
      <c r="B71" s="65">
        <v>569107.66</v>
      </c>
      <c r="C71" s="69">
        <f t="shared" si="27"/>
        <v>483.741511</v>
      </c>
      <c r="D71" s="68"/>
      <c r="E71" s="69">
        <f t="shared" si="28"/>
        <v>176565.65151500001</v>
      </c>
      <c r="F71" s="69"/>
      <c r="G71" s="69"/>
      <c r="I71" s="388">
        <f t="shared" si="29"/>
        <v>564.3650961666666</v>
      </c>
    </row>
    <row r="72" spans="1:9" ht="16" thickBot="1">
      <c r="A72" s="64"/>
      <c r="B72" s="65">
        <v>573432.88</v>
      </c>
      <c r="C72" s="69">
        <f t="shared" si="27"/>
        <v>487.41794799999997</v>
      </c>
      <c r="D72" s="68"/>
      <c r="E72" s="69">
        <f t="shared" si="28"/>
        <v>177907.55101999998</v>
      </c>
      <c r="F72" s="69"/>
      <c r="G72" s="69"/>
      <c r="I72" s="388">
        <f t="shared" si="29"/>
        <v>568.65427266666666</v>
      </c>
    </row>
    <row r="73" spans="1:9" ht="16" thickBot="1">
      <c r="A73" s="64"/>
      <c r="B73" s="65">
        <v>577790.97</v>
      </c>
      <c r="C73" s="69">
        <f t="shared" si="27"/>
        <v>491.12232449999999</v>
      </c>
      <c r="D73" s="68"/>
      <c r="E73" s="69">
        <f t="shared" si="28"/>
        <v>179259.64844250001</v>
      </c>
      <c r="F73" s="69"/>
      <c r="G73" s="69"/>
      <c r="I73" s="388">
        <f t="shared" si="29"/>
        <v>572.97604524999997</v>
      </c>
    </row>
    <row r="74" spans="1:9" ht="16" thickBot="1">
      <c r="A74" s="64"/>
      <c r="B74" s="65">
        <v>582182.17999999993</v>
      </c>
      <c r="C74" s="69">
        <f t="shared" si="27"/>
        <v>494.85485299999993</v>
      </c>
      <c r="D74" s="68"/>
      <c r="E74" s="69">
        <f t="shared" si="28"/>
        <v>180622.02134499999</v>
      </c>
      <c r="F74" s="69"/>
      <c r="G74" s="69"/>
      <c r="I74" s="388">
        <f t="shared" si="29"/>
        <v>577.33066183333324</v>
      </c>
    </row>
    <row r="75" spans="1:9" ht="16" thickBot="1">
      <c r="A75" s="64"/>
      <c r="B75" s="65">
        <v>586606.76</v>
      </c>
      <c r="C75" s="69">
        <f t="shared" si="27"/>
        <v>498.615746</v>
      </c>
      <c r="D75" s="68"/>
      <c r="E75" s="69">
        <f t="shared" si="28"/>
        <v>181994.74729</v>
      </c>
      <c r="F75" s="69"/>
      <c r="G75" s="69"/>
      <c r="I75" s="388">
        <f t="shared" si="29"/>
        <v>581.71837033333338</v>
      </c>
    </row>
    <row r="76" spans="1:9" ht="16" thickBot="1">
      <c r="A76" s="64"/>
      <c r="B76" s="65">
        <v>591064.98</v>
      </c>
      <c r="C76" s="69">
        <f t="shared" si="27"/>
        <v>502.40523299999995</v>
      </c>
      <c r="D76" s="68"/>
      <c r="E76" s="69">
        <f t="shared" si="28"/>
        <v>183377.910045</v>
      </c>
      <c r="F76" s="69"/>
      <c r="G76" s="69"/>
      <c r="I76" s="388">
        <f t="shared" si="29"/>
        <v>586.13943849999998</v>
      </c>
    </row>
    <row r="77" spans="1:9" ht="16" thickBot="1">
      <c r="A77" s="64"/>
      <c r="B77" s="65">
        <v>595557.07999999996</v>
      </c>
      <c r="C77" s="69">
        <f t="shared" si="27"/>
        <v>506.2235179999999</v>
      </c>
      <c r="D77" s="68"/>
      <c r="E77" s="69">
        <f t="shared" si="28"/>
        <v>184771.58406999995</v>
      </c>
      <c r="F77" s="69"/>
      <c r="G77" s="69"/>
      <c r="I77" s="388">
        <f t="shared" si="29"/>
        <v>590.59410433333323</v>
      </c>
    </row>
    <row r="78" spans="1:9" ht="16" thickBot="1">
      <c r="A78" s="64"/>
      <c r="B78" s="65">
        <v>600083.31000000006</v>
      </c>
      <c r="C78" s="69">
        <f t="shared" si="27"/>
        <v>510.07081350000004</v>
      </c>
      <c r="D78" s="68"/>
      <c r="E78" s="69">
        <f t="shared" si="28"/>
        <v>186175.84692750001</v>
      </c>
      <c r="F78" s="69"/>
      <c r="G78" s="69"/>
      <c r="I78" s="388">
        <f t="shared" si="29"/>
        <v>595.08261575000006</v>
      </c>
    </row>
    <row r="79" spans="1:9" ht="16" thickBot="1">
      <c r="A79" s="64"/>
      <c r="B79" s="65">
        <v>604643.93999999994</v>
      </c>
      <c r="C79" s="69">
        <f t="shared" si="27"/>
        <v>513.94734899999992</v>
      </c>
      <c r="D79" s="68"/>
      <c r="E79" s="69">
        <f t="shared" si="28"/>
        <v>187590.78238499997</v>
      </c>
      <c r="F79" s="69"/>
      <c r="G79" s="69"/>
      <c r="I79" s="388">
        <f t="shared" si="29"/>
        <v>599.60524049999992</v>
      </c>
    </row>
    <row r="80" spans="1:9" ht="16" thickBot="1">
      <c r="A80" s="64"/>
      <c r="B80" s="65">
        <v>609239.24</v>
      </c>
      <c r="C80" s="69">
        <f t="shared" si="27"/>
        <v>517.85335399999997</v>
      </c>
      <c r="D80" s="68"/>
      <c r="E80" s="69">
        <f t="shared" si="28"/>
        <v>189016.47420999999</v>
      </c>
      <c r="F80" s="69"/>
      <c r="G80" s="69"/>
      <c r="I80" s="388">
        <f t="shared" si="29"/>
        <v>604.16224633333331</v>
      </c>
    </row>
    <row r="81" spans="1:21" ht="16" thickBot="1">
      <c r="A81" s="64"/>
      <c r="B81" s="65">
        <v>613869.44999999995</v>
      </c>
      <c r="C81" s="69">
        <f>B81*0.85/1000</f>
        <v>521.78903249999996</v>
      </c>
      <c r="D81" s="68"/>
      <c r="E81" s="69">
        <f t="shared" si="28"/>
        <v>190452.99686249997</v>
      </c>
      <c r="F81" s="69"/>
      <c r="G81" s="69"/>
      <c r="I81" s="388">
        <f t="shared" si="29"/>
        <v>608.75387124999997</v>
      </c>
    </row>
    <row r="83" spans="1:21" ht="16" thickBot="1"/>
    <row r="84" spans="1:21" ht="15.75" customHeight="1" thickBot="1">
      <c r="A84" s="427" t="s">
        <v>115</v>
      </c>
      <c r="B84" s="427" t="s">
        <v>47</v>
      </c>
      <c r="C84" s="430" t="s">
        <v>754</v>
      </c>
      <c r="D84" s="431"/>
      <c r="E84" s="431"/>
      <c r="F84" s="432"/>
      <c r="G84" s="371"/>
      <c r="H84" s="427" t="s">
        <v>115</v>
      </c>
      <c r="I84" s="427" t="s">
        <v>47</v>
      </c>
      <c r="J84" s="430" t="s">
        <v>750</v>
      </c>
      <c r="K84" s="431"/>
      <c r="L84" s="431"/>
      <c r="M84" s="432"/>
      <c r="N84" s="371"/>
      <c r="O84" s="427" t="s">
        <v>115</v>
      </c>
      <c r="P84" s="427" t="s">
        <v>47</v>
      </c>
      <c r="Q84" s="430" t="s">
        <v>751</v>
      </c>
      <c r="R84" s="431"/>
      <c r="S84" s="431"/>
      <c r="T84" s="432"/>
      <c r="U84" s="371"/>
    </row>
    <row r="85" spans="1:21" ht="15" customHeight="1">
      <c r="A85" s="428"/>
      <c r="B85" s="428"/>
      <c r="C85" s="427" t="s">
        <v>117</v>
      </c>
      <c r="D85" s="427" t="s">
        <v>118</v>
      </c>
      <c r="E85" s="372" t="s">
        <v>119</v>
      </c>
      <c r="F85" s="427" t="s">
        <v>121</v>
      </c>
      <c r="G85" s="371"/>
      <c r="H85" s="428"/>
      <c r="I85" s="428"/>
      <c r="J85" s="427" t="s">
        <v>117</v>
      </c>
      <c r="K85" s="427" t="s">
        <v>118</v>
      </c>
      <c r="L85" s="372" t="s">
        <v>119</v>
      </c>
      <c r="M85" s="427" t="s">
        <v>121</v>
      </c>
      <c r="N85" s="371"/>
      <c r="O85" s="428"/>
      <c r="P85" s="428"/>
      <c r="Q85" s="427" t="s">
        <v>117</v>
      </c>
      <c r="R85" s="427" t="s">
        <v>118</v>
      </c>
      <c r="S85" s="372" t="s">
        <v>119</v>
      </c>
      <c r="T85" s="427" t="s">
        <v>121</v>
      </c>
      <c r="U85" s="371"/>
    </row>
    <row r="86" spans="1:21" ht="16" thickBot="1">
      <c r="A86" s="429"/>
      <c r="B86" s="429"/>
      <c r="C86" s="429"/>
      <c r="D86" s="429"/>
      <c r="E86" s="373" t="s">
        <v>120</v>
      </c>
      <c r="F86" s="429"/>
      <c r="G86" s="371"/>
      <c r="H86" s="429"/>
      <c r="I86" s="429"/>
      <c r="J86" s="429"/>
      <c r="K86" s="429"/>
      <c r="L86" s="373" t="s">
        <v>120</v>
      </c>
      <c r="M86" s="429"/>
      <c r="N86" s="371"/>
      <c r="O86" s="429"/>
      <c r="P86" s="429"/>
      <c r="Q86" s="429"/>
      <c r="R86" s="429"/>
      <c r="S86" s="373" t="s">
        <v>120</v>
      </c>
      <c r="T86" s="429"/>
      <c r="U86" s="371"/>
    </row>
    <row r="87" spans="1:21" ht="15.75" customHeight="1" thickBot="1">
      <c r="A87" s="64"/>
      <c r="B87" s="386">
        <f>SUM(I87+P87)</f>
        <v>504178</v>
      </c>
      <c r="C87" s="66">
        <f>J87+Q87</f>
        <v>104.91</v>
      </c>
      <c r="D87" s="387">
        <f>K87+R87</f>
        <v>3147.2799999999997</v>
      </c>
      <c r="E87" s="387">
        <f>L87+S87</f>
        <v>38291.919999999998</v>
      </c>
      <c r="F87" s="66"/>
      <c r="H87" s="374">
        <v>2018</v>
      </c>
      <c r="I87" s="375">
        <v>259261</v>
      </c>
      <c r="J87" s="376">
        <v>53.95</v>
      </c>
      <c r="K87" s="377">
        <v>1618.41</v>
      </c>
      <c r="L87" s="378">
        <v>19690.669999999998</v>
      </c>
      <c r="M87" s="378">
        <v>19690.669999999998</v>
      </c>
      <c r="N87" s="371"/>
      <c r="O87" s="374">
        <v>2018</v>
      </c>
      <c r="P87" s="375">
        <v>244917</v>
      </c>
      <c r="Q87" s="376">
        <v>50.96</v>
      </c>
      <c r="R87" s="377">
        <v>1528.87</v>
      </c>
      <c r="S87" s="378">
        <v>18601.25</v>
      </c>
      <c r="T87" s="378">
        <v>18601.25</v>
      </c>
      <c r="U87" s="371"/>
    </row>
    <row r="88" spans="1:21" ht="15.75" customHeight="1" thickBot="1">
      <c r="A88" s="64"/>
      <c r="B88" s="386">
        <f t="shared" ref="B88:B112" si="30">SUM(I88+P88)</f>
        <v>511870.62</v>
      </c>
      <c r="C88" s="66">
        <f t="shared" ref="C88:C111" si="31">J88+Q88</f>
        <v>106.51</v>
      </c>
      <c r="D88" s="387">
        <f t="shared" ref="D88:D111" si="32">K88+R88</f>
        <v>3195.3</v>
      </c>
      <c r="E88" s="387">
        <f t="shared" ref="E88:E111" si="33">L88+S88</f>
        <v>38876.160000000003</v>
      </c>
      <c r="F88" s="66"/>
      <c r="H88" s="374">
        <v>2019</v>
      </c>
      <c r="I88" s="378">
        <v>263216.74</v>
      </c>
      <c r="J88" s="376">
        <v>54.77</v>
      </c>
      <c r="K88" s="377">
        <v>1643.1</v>
      </c>
      <c r="L88" s="378">
        <v>19991.099999999999</v>
      </c>
      <c r="M88" s="378">
        <v>39681.769999999997</v>
      </c>
      <c r="N88" s="371"/>
      <c r="O88" s="374">
        <v>2019</v>
      </c>
      <c r="P88" s="378">
        <v>248653.88</v>
      </c>
      <c r="Q88" s="376">
        <v>51.74</v>
      </c>
      <c r="R88" s="377">
        <v>1552.2</v>
      </c>
      <c r="S88" s="378">
        <v>18885.060000000001</v>
      </c>
      <c r="T88" s="378">
        <v>37486.31</v>
      </c>
      <c r="U88" s="371"/>
    </row>
    <row r="89" spans="1:21" ht="16" thickBot="1">
      <c r="A89" s="64"/>
      <c r="B89" s="386">
        <f t="shared" si="30"/>
        <v>515760.83999999997</v>
      </c>
      <c r="C89" s="66">
        <f t="shared" si="31"/>
        <v>107.32</v>
      </c>
      <c r="D89" s="387">
        <f t="shared" si="32"/>
        <v>3219.58</v>
      </c>
      <c r="E89" s="387">
        <f t="shared" si="33"/>
        <v>39171.619999999995</v>
      </c>
      <c r="F89" s="66"/>
      <c r="H89" s="374">
        <v>2020</v>
      </c>
      <c r="I89" s="378">
        <v>265217.19</v>
      </c>
      <c r="J89" s="376">
        <v>55.19</v>
      </c>
      <c r="K89" s="378">
        <v>1655.59</v>
      </c>
      <c r="L89" s="378">
        <v>20143.03</v>
      </c>
      <c r="M89" s="378">
        <v>59824.800000000003</v>
      </c>
      <c r="N89" s="371"/>
      <c r="O89" s="374">
        <v>2020</v>
      </c>
      <c r="P89" s="378">
        <v>250543.65</v>
      </c>
      <c r="Q89" s="376">
        <v>52.13</v>
      </c>
      <c r="R89" s="378">
        <v>1563.99</v>
      </c>
      <c r="S89" s="378">
        <v>19028.59</v>
      </c>
      <c r="T89" s="378">
        <v>56514.9</v>
      </c>
      <c r="U89" s="371"/>
    </row>
    <row r="90" spans="1:21" ht="16" thickBot="1">
      <c r="A90" s="64"/>
      <c r="B90" s="386">
        <f t="shared" si="30"/>
        <v>519680.63</v>
      </c>
      <c r="C90" s="66">
        <f t="shared" si="31"/>
        <v>108.14</v>
      </c>
      <c r="D90" s="387">
        <f t="shared" si="32"/>
        <v>3244.05</v>
      </c>
      <c r="E90" s="387">
        <f t="shared" si="33"/>
        <v>39469.33</v>
      </c>
      <c r="F90" s="66"/>
      <c r="H90" s="374">
        <v>2021</v>
      </c>
      <c r="I90" s="378">
        <v>267232.84000000003</v>
      </c>
      <c r="J90" s="376">
        <v>55.61</v>
      </c>
      <c r="K90" s="378">
        <v>1668.17</v>
      </c>
      <c r="L90" s="378">
        <v>20296.12</v>
      </c>
      <c r="M90" s="378">
        <v>80120.92</v>
      </c>
      <c r="N90" s="371"/>
      <c r="O90" s="374">
        <v>2021</v>
      </c>
      <c r="P90" s="378">
        <v>252447.79</v>
      </c>
      <c r="Q90" s="376">
        <v>52.53</v>
      </c>
      <c r="R90" s="378">
        <v>1575.88</v>
      </c>
      <c r="S90" s="378">
        <v>19173.21</v>
      </c>
      <c r="T90" s="378">
        <v>75688.11</v>
      </c>
      <c r="U90" s="371"/>
    </row>
    <row r="91" spans="1:21" ht="16" thickBot="1">
      <c r="A91" s="64"/>
      <c r="B91" s="386">
        <f t="shared" si="30"/>
        <v>523630.2</v>
      </c>
      <c r="C91" s="66">
        <f t="shared" si="31"/>
        <v>108.96000000000001</v>
      </c>
      <c r="D91" s="387">
        <f t="shared" si="32"/>
        <v>3268.71</v>
      </c>
      <c r="E91" s="387">
        <f t="shared" si="33"/>
        <v>39769.289999999994</v>
      </c>
      <c r="F91" s="66"/>
      <c r="H91" s="374">
        <v>2022</v>
      </c>
      <c r="I91" s="378">
        <v>269263.81</v>
      </c>
      <c r="J91" s="376">
        <v>56.03</v>
      </c>
      <c r="K91" s="378">
        <v>1680.85</v>
      </c>
      <c r="L91" s="378">
        <v>20450.37</v>
      </c>
      <c r="M91" s="378">
        <v>100571.29</v>
      </c>
      <c r="N91" s="371"/>
      <c r="O91" s="374">
        <v>2022</v>
      </c>
      <c r="P91" s="378">
        <v>254366.39</v>
      </c>
      <c r="Q91" s="376">
        <v>52.93</v>
      </c>
      <c r="R91" s="378">
        <v>1587.86</v>
      </c>
      <c r="S91" s="378">
        <v>19318.919999999998</v>
      </c>
      <c r="T91" s="378">
        <v>95007.039999999994</v>
      </c>
      <c r="U91" s="371"/>
    </row>
    <row r="92" spans="1:21" ht="16" thickBot="1">
      <c r="A92" s="64"/>
      <c r="B92" s="386">
        <f t="shared" si="30"/>
        <v>527609.78</v>
      </c>
      <c r="C92" s="66">
        <f t="shared" si="31"/>
        <v>109.78</v>
      </c>
      <c r="D92" s="387">
        <f t="shared" si="32"/>
        <v>3293.55</v>
      </c>
      <c r="E92" s="387">
        <f t="shared" si="33"/>
        <v>40071.54</v>
      </c>
      <c r="F92" s="66"/>
      <c r="H92" s="374">
        <v>2023</v>
      </c>
      <c r="I92" s="378">
        <v>271310.21000000002</v>
      </c>
      <c r="J92" s="376">
        <v>56.45</v>
      </c>
      <c r="K92" s="378">
        <v>1693.63</v>
      </c>
      <c r="L92" s="378">
        <v>20605.79</v>
      </c>
      <c r="M92" s="378">
        <v>121177.08</v>
      </c>
      <c r="N92" s="371"/>
      <c r="O92" s="374">
        <v>2023</v>
      </c>
      <c r="P92" s="378">
        <v>256299.57</v>
      </c>
      <c r="Q92" s="376">
        <v>53.33</v>
      </c>
      <c r="R92" s="378">
        <v>1599.92</v>
      </c>
      <c r="S92" s="378">
        <v>19465.75</v>
      </c>
      <c r="T92" s="378">
        <v>114472.78</v>
      </c>
      <c r="U92" s="371"/>
    </row>
    <row r="93" spans="1:21" ht="16" thickBot="1">
      <c r="A93" s="64"/>
      <c r="B93" s="386">
        <f t="shared" si="30"/>
        <v>531619.62</v>
      </c>
      <c r="C93" s="66">
        <f t="shared" si="31"/>
        <v>110.62</v>
      </c>
      <c r="D93" s="387">
        <f t="shared" si="32"/>
        <v>3318.58</v>
      </c>
      <c r="E93" s="387">
        <f t="shared" si="33"/>
        <v>40376.089999999997</v>
      </c>
      <c r="F93" s="66"/>
      <c r="H93" s="374">
        <v>2024</v>
      </c>
      <c r="I93" s="378">
        <v>273372.17</v>
      </c>
      <c r="J93" s="376">
        <v>56.88</v>
      </c>
      <c r="K93" s="378">
        <v>1706.5</v>
      </c>
      <c r="L93" s="378">
        <v>20762.400000000001</v>
      </c>
      <c r="M93" s="378">
        <v>141939.48000000001</v>
      </c>
      <c r="N93" s="371"/>
      <c r="O93" s="374">
        <v>2024</v>
      </c>
      <c r="P93" s="378">
        <v>258247.45</v>
      </c>
      <c r="Q93" s="376">
        <v>53.74</v>
      </c>
      <c r="R93" s="378">
        <v>1612.08</v>
      </c>
      <c r="S93" s="378">
        <v>19613.689999999999</v>
      </c>
      <c r="T93" s="378">
        <v>134086.47</v>
      </c>
      <c r="U93" s="371"/>
    </row>
    <row r="94" spans="1:21" ht="16" thickBot="1">
      <c r="A94" s="64"/>
      <c r="B94" s="386">
        <f t="shared" si="30"/>
        <v>535659.92999999993</v>
      </c>
      <c r="C94" s="66">
        <f t="shared" si="31"/>
        <v>111.46000000000001</v>
      </c>
      <c r="D94" s="387">
        <f t="shared" si="32"/>
        <v>3343.81</v>
      </c>
      <c r="E94" s="387">
        <f t="shared" si="33"/>
        <v>40682.94</v>
      </c>
      <c r="F94" s="66"/>
      <c r="H94" s="374">
        <v>2025</v>
      </c>
      <c r="I94" s="378">
        <v>275449.8</v>
      </c>
      <c r="J94" s="376">
        <v>57.32</v>
      </c>
      <c r="K94" s="378">
        <v>1719.47</v>
      </c>
      <c r="L94" s="378">
        <v>20920.189999999999</v>
      </c>
      <c r="M94" s="378">
        <v>162859.67000000001</v>
      </c>
      <c r="N94" s="371"/>
      <c r="O94" s="374">
        <v>2025</v>
      </c>
      <c r="P94" s="378">
        <v>260210.13</v>
      </c>
      <c r="Q94" s="376">
        <v>54.14</v>
      </c>
      <c r="R94" s="378">
        <v>1624.34</v>
      </c>
      <c r="S94" s="378">
        <v>19762.75</v>
      </c>
      <c r="T94" s="378">
        <v>153849.22</v>
      </c>
      <c r="U94" s="371"/>
    </row>
    <row r="95" spans="1:21" ht="16" thickBot="1">
      <c r="A95" s="64"/>
      <c r="B95" s="386">
        <f t="shared" si="30"/>
        <v>539730.94999999995</v>
      </c>
      <c r="C95" s="66">
        <f t="shared" si="31"/>
        <v>112.31</v>
      </c>
      <c r="D95" s="387">
        <f t="shared" si="32"/>
        <v>3369.2200000000003</v>
      </c>
      <c r="E95" s="387">
        <f t="shared" si="33"/>
        <v>40992.14</v>
      </c>
      <c r="F95" s="66"/>
      <c r="H95" s="374">
        <v>2026</v>
      </c>
      <c r="I95" s="378">
        <v>277543.21999999997</v>
      </c>
      <c r="J95" s="376">
        <v>57.75</v>
      </c>
      <c r="K95" s="378">
        <v>1732.54</v>
      </c>
      <c r="L95" s="378">
        <v>21079.19</v>
      </c>
      <c r="M95" s="378">
        <v>183938.86</v>
      </c>
      <c r="N95" s="371"/>
      <c r="O95" s="374">
        <v>2026</v>
      </c>
      <c r="P95" s="378">
        <v>262187.73</v>
      </c>
      <c r="Q95" s="376">
        <v>54.56</v>
      </c>
      <c r="R95" s="378">
        <v>1636.68</v>
      </c>
      <c r="S95" s="378">
        <v>19912.95</v>
      </c>
      <c r="T95" s="378">
        <v>173762.17</v>
      </c>
      <c r="U95" s="371"/>
    </row>
    <row r="96" spans="1:21" ht="16" thickBot="1">
      <c r="A96" s="64"/>
      <c r="B96" s="386">
        <f>SUM(I96+P96)</f>
        <v>543832.89999999991</v>
      </c>
      <c r="C96" s="66">
        <f t="shared" si="31"/>
        <v>113.16</v>
      </c>
      <c r="D96" s="387">
        <f t="shared" si="32"/>
        <v>3394.8199999999997</v>
      </c>
      <c r="E96" s="387">
        <f t="shared" si="33"/>
        <v>41303.68</v>
      </c>
      <c r="F96" s="66"/>
      <c r="H96" s="374">
        <v>2027</v>
      </c>
      <c r="I96" s="378">
        <v>279652.55</v>
      </c>
      <c r="J96" s="376">
        <v>58.19</v>
      </c>
      <c r="K96" s="378">
        <v>1745.7</v>
      </c>
      <c r="L96" s="378">
        <v>21239.39</v>
      </c>
      <c r="M96" s="378">
        <v>205178.25</v>
      </c>
      <c r="N96" s="371"/>
      <c r="O96" s="374">
        <v>2027</v>
      </c>
      <c r="P96" s="378">
        <v>264180.34999999998</v>
      </c>
      <c r="Q96" s="376">
        <v>54.97</v>
      </c>
      <c r="R96" s="378">
        <v>1649.12</v>
      </c>
      <c r="S96" s="378">
        <v>20064.29</v>
      </c>
      <c r="T96" s="378">
        <v>193826.46</v>
      </c>
      <c r="U96" s="371"/>
    </row>
    <row r="97" spans="1:21" ht="16" thickBot="1">
      <c r="A97" s="64"/>
      <c r="B97" s="386">
        <f t="shared" si="30"/>
        <v>547966.04</v>
      </c>
      <c r="C97" s="66">
        <f t="shared" si="31"/>
        <v>114.02000000000001</v>
      </c>
      <c r="D97" s="387">
        <f t="shared" si="32"/>
        <v>3420.62</v>
      </c>
      <c r="E97" s="387">
        <f t="shared" si="33"/>
        <v>41617.589999999997</v>
      </c>
      <c r="F97" s="66"/>
      <c r="H97" s="374">
        <v>2028</v>
      </c>
      <c r="I97" s="378">
        <v>281777.90999999997</v>
      </c>
      <c r="J97" s="376">
        <v>58.63</v>
      </c>
      <c r="K97" s="378">
        <v>1758.97</v>
      </c>
      <c r="L97" s="378">
        <v>21400.81</v>
      </c>
      <c r="M97" s="378">
        <v>226579.05</v>
      </c>
      <c r="N97" s="371"/>
      <c r="O97" s="374">
        <v>2028</v>
      </c>
      <c r="P97" s="378">
        <v>266188.13</v>
      </c>
      <c r="Q97" s="376">
        <v>55.39</v>
      </c>
      <c r="R97" s="378">
        <v>1661.65</v>
      </c>
      <c r="S97" s="378">
        <v>20216.78</v>
      </c>
      <c r="T97" s="378">
        <v>214043.23</v>
      </c>
      <c r="U97" s="371"/>
    </row>
    <row r="98" spans="1:21" ht="16" thickBot="1">
      <c r="A98" s="64"/>
      <c r="B98" s="386">
        <f t="shared" si="30"/>
        <v>552130.57999999996</v>
      </c>
      <c r="C98" s="66">
        <f t="shared" si="31"/>
        <v>114.89</v>
      </c>
      <c r="D98" s="387">
        <f t="shared" si="32"/>
        <v>3446.62</v>
      </c>
      <c r="E98" s="387">
        <f t="shared" si="33"/>
        <v>41933.869999999995</v>
      </c>
      <c r="F98" s="66"/>
      <c r="H98" s="374">
        <v>2029</v>
      </c>
      <c r="I98" s="378">
        <v>283919.42</v>
      </c>
      <c r="J98" s="376">
        <v>59.08</v>
      </c>
      <c r="K98" s="378">
        <v>1772.34</v>
      </c>
      <c r="L98" s="378">
        <v>21563.45</v>
      </c>
      <c r="M98" s="378">
        <v>248142.51</v>
      </c>
      <c r="N98" s="371"/>
      <c r="O98" s="374">
        <v>2029</v>
      </c>
      <c r="P98" s="378">
        <v>268211.15999999997</v>
      </c>
      <c r="Q98" s="376">
        <v>55.81</v>
      </c>
      <c r="R98" s="378">
        <v>1674.28</v>
      </c>
      <c r="S98" s="378">
        <v>20370.419999999998</v>
      </c>
      <c r="T98" s="378">
        <v>234413.65</v>
      </c>
      <c r="U98" s="371"/>
    </row>
    <row r="99" spans="1:21" ht="16" thickBot="1">
      <c r="A99" s="64"/>
      <c r="B99" s="386">
        <f t="shared" si="30"/>
        <v>556326.77</v>
      </c>
      <c r="C99" s="66">
        <f t="shared" si="31"/>
        <v>115.75999999999999</v>
      </c>
      <c r="D99" s="387">
        <f t="shared" si="32"/>
        <v>3472.8199999999997</v>
      </c>
      <c r="E99" s="387">
        <f t="shared" si="33"/>
        <v>42252.570000000007</v>
      </c>
      <c r="F99" s="66"/>
      <c r="H99" s="374">
        <v>2030</v>
      </c>
      <c r="I99" s="377">
        <v>286077.21000000002</v>
      </c>
      <c r="J99" s="379">
        <v>59.53</v>
      </c>
      <c r="K99" s="377">
        <v>1785.81</v>
      </c>
      <c r="L99" s="377">
        <v>21727.33</v>
      </c>
      <c r="M99" s="378">
        <v>269869.84000000003</v>
      </c>
      <c r="N99" s="371"/>
      <c r="O99" s="374">
        <v>2030</v>
      </c>
      <c r="P99" s="377">
        <v>270249.56</v>
      </c>
      <c r="Q99" s="379">
        <v>56.23</v>
      </c>
      <c r="R99" s="377">
        <v>1687.01</v>
      </c>
      <c r="S99" s="377">
        <v>20525.240000000002</v>
      </c>
      <c r="T99" s="378">
        <v>254938.89</v>
      </c>
      <c r="U99" s="371"/>
    </row>
    <row r="100" spans="1:21" ht="16" thickBot="1">
      <c r="A100" s="64"/>
      <c r="B100" s="386">
        <f t="shared" si="30"/>
        <v>560554.85000000009</v>
      </c>
      <c r="C100" s="66">
        <f t="shared" si="31"/>
        <v>116.63999999999999</v>
      </c>
      <c r="D100" s="387">
        <f t="shared" si="32"/>
        <v>3499.21</v>
      </c>
      <c r="E100" s="387">
        <f t="shared" si="33"/>
        <v>42573.69</v>
      </c>
      <c r="F100" s="66"/>
      <c r="H100" s="374">
        <v>2031</v>
      </c>
      <c r="I100" s="377">
        <v>288251.39</v>
      </c>
      <c r="J100" s="379">
        <v>59.98</v>
      </c>
      <c r="K100" s="377">
        <v>1799.38</v>
      </c>
      <c r="L100" s="377">
        <v>21892.46</v>
      </c>
      <c r="M100" s="378">
        <v>291762.3</v>
      </c>
      <c r="N100" s="371"/>
      <c r="O100" s="374">
        <v>2031</v>
      </c>
      <c r="P100" s="377">
        <v>272303.46000000002</v>
      </c>
      <c r="Q100" s="379">
        <v>56.66</v>
      </c>
      <c r="R100" s="377">
        <v>1699.83</v>
      </c>
      <c r="S100" s="377">
        <v>20681.23</v>
      </c>
      <c r="T100" s="378">
        <v>275620.12</v>
      </c>
      <c r="U100" s="371"/>
    </row>
    <row r="101" spans="1:21" ht="16" thickBot="1">
      <c r="A101" s="64"/>
      <c r="B101" s="386">
        <f t="shared" si="30"/>
        <v>564815.06000000006</v>
      </c>
      <c r="C101" s="66">
        <f t="shared" si="31"/>
        <v>117.53</v>
      </c>
      <c r="D101" s="387">
        <f t="shared" si="32"/>
        <v>3525.81</v>
      </c>
      <c r="E101" s="387">
        <f t="shared" si="33"/>
        <v>42897.259999999995</v>
      </c>
      <c r="F101" s="66"/>
      <c r="H101" s="374">
        <v>2032</v>
      </c>
      <c r="I101" s="377">
        <v>290442.09999999998</v>
      </c>
      <c r="J101" s="379">
        <v>60.44</v>
      </c>
      <c r="K101" s="377">
        <v>1813.06</v>
      </c>
      <c r="L101" s="377">
        <v>22058.85</v>
      </c>
      <c r="M101" s="378">
        <v>313821.15000000002</v>
      </c>
      <c r="N101" s="371"/>
      <c r="O101" s="374">
        <v>2032</v>
      </c>
      <c r="P101" s="377">
        <v>274372.96000000002</v>
      </c>
      <c r="Q101" s="379">
        <v>57.09</v>
      </c>
      <c r="R101" s="377">
        <v>1712.75</v>
      </c>
      <c r="S101" s="377">
        <v>20838.41</v>
      </c>
      <c r="T101" s="378">
        <v>296458.53000000003</v>
      </c>
      <c r="U101" s="371"/>
    </row>
    <row r="102" spans="1:21" ht="16" thickBot="1">
      <c r="A102" s="64"/>
      <c r="B102" s="386">
        <f>SUM(I102+P102)</f>
        <v>569107.66</v>
      </c>
      <c r="C102" s="66">
        <f t="shared" si="31"/>
        <v>118.42</v>
      </c>
      <c r="D102" s="387">
        <f t="shared" si="32"/>
        <v>3552.6</v>
      </c>
      <c r="E102" s="387">
        <f t="shared" si="33"/>
        <v>43223.270000000004</v>
      </c>
      <c r="F102" s="66"/>
      <c r="H102" s="374">
        <v>2033</v>
      </c>
      <c r="I102" s="377">
        <v>292649.46000000002</v>
      </c>
      <c r="J102" s="379">
        <v>60.89</v>
      </c>
      <c r="K102" s="377">
        <v>1826.84</v>
      </c>
      <c r="L102" s="377">
        <v>22226.49</v>
      </c>
      <c r="M102" s="378">
        <v>336047.64</v>
      </c>
      <c r="N102" s="371"/>
      <c r="O102" s="374">
        <v>2033</v>
      </c>
      <c r="P102" s="377">
        <v>276458.2</v>
      </c>
      <c r="Q102" s="379">
        <v>57.53</v>
      </c>
      <c r="R102" s="377">
        <v>1725.76</v>
      </c>
      <c r="S102" s="377">
        <v>20996.78</v>
      </c>
      <c r="T102" s="378">
        <v>317455.31</v>
      </c>
      <c r="U102" s="371"/>
    </row>
    <row r="103" spans="1:21" ht="16" thickBot="1">
      <c r="A103" s="64"/>
      <c r="B103" s="386">
        <f t="shared" si="30"/>
        <v>573432.88</v>
      </c>
      <c r="C103" s="66">
        <f t="shared" si="31"/>
        <v>119.32</v>
      </c>
      <c r="D103" s="387">
        <f t="shared" si="32"/>
        <v>3579.6000000000004</v>
      </c>
      <c r="E103" s="387">
        <f t="shared" si="33"/>
        <v>43551.759999999995</v>
      </c>
      <c r="F103" s="66"/>
      <c r="H103" s="374">
        <v>2034</v>
      </c>
      <c r="I103" s="377">
        <v>294873.59999999998</v>
      </c>
      <c r="J103" s="379">
        <v>61.36</v>
      </c>
      <c r="K103" s="377">
        <v>1840.72</v>
      </c>
      <c r="L103" s="377">
        <v>22395.41</v>
      </c>
      <c r="M103" s="378">
        <v>358443.06</v>
      </c>
      <c r="N103" s="371"/>
      <c r="O103" s="374">
        <v>2034</v>
      </c>
      <c r="P103" s="377">
        <v>278559.28000000003</v>
      </c>
      <c r="Q103" s="379">
        <v>57.96</v>
      </c>
      <c r="R103" s="377">
        <v>1738.88</v>
      </c>
      <c r="S103" s="377">
        <v>21156.35</v>
      </c>
      <c r="T103" s="378">
        <v>338611.66</v>
      </c>
      <c r="U103" s="371"/>
    </row>
    <row r="104" spans="1:21" ht="16" thickBot="1">
      <c r="A104" s="64"/>
      <c r="B104" s="386">
        <f t="shared" si="30"/>
        <v>577790.97</v>
      </c>
      <c r="C104" s="66">
        <f t="shared" si="31"/>
        <v>120.22</v>
      </c>
      <c r="D104" s="387">
        <f t="shared" si="32"/>
        <v>3606.8</v>
      </c>
      <c r="E104" s="387">
        <f t="shared" si="33"/>
        <v>43882.759999999995</v>
      </c>
      <c r="F104" s="66"/>
      <c r="H104" s="374">
        <v>2035</v>
      </c>
      <c r="I104" s="377">
        <v>297114.64</v>
      </c>
      <c r="J104" s="379">
        <v>61.82</v>
      </c>
      <c r="K104" s="377">
        <v>1854.71</v>
      </c>
      <c r="L104" s="377">
        <v>22565.62</v>
      </c>
      <c r="M104" s="378">
        <v>381008.68</v>
      </c>
      <c r="N104" s="371"/>
      <c r="O104" s="374">
        <v>2035</v>
      </c>
      <c r="P104" s="377">
        <v>280676.33</v>
      </c>
      <c r="Q104" s="379">
        <v>58.4</v>
      </c>
      <c r="R104" s="377">
        <v>1752.09</v>
      </c>
      <c r="S104" s="377">
        <v>21317.14</v>
      </c>
      <c r="T104" s="378">
        <v>359928.8</v>
      </c>
      <c r="U104" s="371"/>
    </row>
    <row r="105" spans="1:21" ht="16" thickBot="1">
      <c r="A105" s="64"/>
      <c r="B105" s="386">
        <f t="shared" si="30"/>
        <v>582182.17999999993</v>
      </c>
      <c r="C105" s="66">
        <f t="shared" si="31"/>
        <v>121.14</v>
      </c>
      <c r="D105" s="387">
        <f t="shared" si="32"/>
        <v>3634.21</v>
      </c>
      <c r="E105" s="387">
        <f t="shared" si="33"/>
        <v>44216.270000000004</v>
      </c>
      <c r="F105" s="66"/>
      <c r="H105" s="374">
        <v>2036</v>
      </c>
      <c r="I105" s="377">
        <v>299372.71000000002</v>
      </c>
      <c r="J105" s="379">
        <v>62.29</v>
      </c>
      <c r="K105" s="377">
        <v>1868.8</v>
      </c>
      <c r="L105" s="377">
        <v>22737.119999999999</v>
      </c>
      <c r="M105" s="378">
        <v>403745.79</v>
      </c>
      <c r="N105" s="371"/>
      <c r="O105" s="374">
        <v>2036</v>
      </c>
      <c r="P105" s="377">
        <v>282809.46999999997</v>
      </c>
      <c r="Q105" s="379">
        <v>58.85</v>
      </c>
      <c r="R105" s="377">
        <v>1765.41</v>
      </c>
      <c r="S105" s="377">
        <v>21479.15</v>
      </c>
      <c r="T105" s="378">
        <v>381407.96</v>
      </c>
      <c r="U105" s="371"/>
    </row>
    <row r="106" spans="1:21" ht="16" thickBot="1">
      <c r="A106" s="64"/>
      <c r="B106" s="386">
        <f t="shared" si="30"/>
        <v>586606.76</v>
      </c>
      <c r="C106" s="66">
        <f t="shared" si="31"/>
        <v>122.06</v>
      </c>
      <c r="D106" s="387">
        <f t="shared" si="32"/>
        <v>3661.84</v>
      </c>
      <c r="E106" s="387">
        <f t="shared" si="33"/>
        <v>44552.31</v>
      </c>
      <c r="F106" s="66"/>
      <c r="H106" s="374">
        <v>2037</v>
      </c>
      <c r="I106" s="377">
        <v>301647.94</v>
      </c>
      <c r="J106" s="379">
        <v>62.77</v>
      </c>
      <c r="K106" s="377">
        <v>1883.01</v>
      </c>
      <c r="L106" s="377">
        <v>22909.919999999998</v>
      </c>
      <c r="M106" s="378">
        <v>426655.71</v>
      </c>
      <c r="N106" s="371"/>
      <c r="O106" s="374">
        <v>2037</v>
      </c>
      <c r="P106" s="377">
        <v>284958.82</v>
      </c>
      <c r="Q106" s="379">
        <v>59.29</v>
      </c>
      <c r="R106" s="377">
        <v>1778.83</v>
      </c>
      <c r="S106" s="377">
        <v>21642.39</v>
      </c>
      <c r="T106" s="378">
        <v>403050.35</v>
      </c>
      <c r="U106" s="371"/>
    </row>
    <row r="107" spans="1:21" ht="16" thickBot="1">
      <c r="A107" s="64"/>
      <c r="B107" s="386">
        <f t="shared" si="30"/>
        <v>591064.98</v>
      </c>
      <c r="C107" s="66">
        <f t="shared" si="31"/>
        <v>122.98</v>
      </c>
      <c r="D107" s="387">
        <f t="shared" si="32"/>
        <v>3689.67</v>
      </c>
      <c r="E107" s="387">
        <f t="shared" si="33"/>
        <v>44890.92</v>
      </c>
      <c r="F107" s="66"/>
      <c r="H107" s="374">
        <v>2038</v>
      </c>
      <c r="I107" s="377">
        <v>303940.46999999997</v>
      </c>
      <c r="J107" s="379">
        <v>63.24</v>
      </c>
      <c r="K107" s="377">
        <v>1897.32</v>
      </c>
      <c r="L107" s="377">
        <v>23084.04</v>
      </c>
      <c r="M107" s="378">
        <v>449739.75</v>
      </c>
      <c r="N107" s="371"/>
      <c r="O107" s="374">
        <v>2038</v>
      </c>
      <c r="P107" s="377">
        <v>287124.51</v>
      </c>
      <c r="Q107" s="379">
        <v>59.74</v>
      </c>
      <c r="R107" s="377">
        <v>1792.35</v>
      </c>
      <c r="S107" s="377">
        <v>21806.880000000001</v>
      </c>
      <c r="T107" s="378">
        <v>424857.23</v>
      </c>
      <c r="U107" s="371"/>
    </row>
    <row r="108" spans="1:21" ht="16" thickBot="1">
      <c r="A108" s="64"/>
      <c r="B108" s="386">
        <f t="shared" si="30"/>
        <v>595557.07999999996</v>
      </c>
      <c r="C108" s="66">
        <f t="shared" si="31"/>
        <v>123.92</v>
      </c>
      <c r="D108" s="387">
        <f t="shared" si="32"/>
        <v>3717.71</v>
      </c>
      <c r="E108" s="387">
        <f t="shared" si="33"/>
        <v>45232.08</v>
      </c>
      <c r="F108" s="66"/>
      <c r="H108" s="374">
        <v>2039</v>
      </c>
      <c r="I108" s="377">
        <v>306250.42</v>
      </c>
      <c r="J108" s="379">
        <v>63.72</v>
      </c>
      <c r="K108" s="377">
        <v>1911.74</v>
      </c>
      <c r="L108" s="377">
        <v>23259.47</v>
      </c>
      <c r="M108" s="378">
        <v>472999.22</v>
      </c>
      <c r="N108" s="371"/>
      <c r="O108" s="374">
        <v>2039</v>
      </c>
      <c r="P108" s="377">
        <v>289306.65999999997</v>
      </c>
      <c r="Q108" s="379">
        <v>60.2</v>
      </c>
      <c r="R108" s="377">
        <v>1805.97</v>
      </c>
      <c r="S108" s="377">
        <v>21972.61</v>
      </c>
      <c r="T108" s="378">
        <v>446829.84</v>
      </c>
      <c r="U108" s="371"/>
    </row>
    <row r="109" spans="1:21" ht="16" thickBot="1">
      <c r="A109" s="64"/>
      <c r="B109" s="386">
        <f t="shared" si="30"/>
        <v>600083.31000000006</v>
      </c>
      <c r="C109" s="66">
        <f t="shared" si="31"/>
        <v>124.86999999999999</v>
      </c>
      <c r="D109" s="387">
        <f t="shared" si="32"/>
        <v>3745.96</v>
      </c>
      <c r="E109" s="387">
        <f t="shared" si="33"/>
        <v>45575.85</v>
      </c>
      <c r="F109" s="66"/>
      <c r="H109" s="374">
        <v>2040</v>
      </c>
      <c r="I109" s="377">
        <v>308577.91999999998</v>
      </c>
      <c r="J109" s="379">
        <v>64.209999999999994</v>
      </c>
      <c r="K109" s="377">
        <v>1926.27</v>
      </c>
      <c r="L109" s="377">
        <v>23436.25</v>
      </c>
      <c r="M109" s="378">
        <v>496435.47</v>
      </c>
      <c r="N109" s="371"/>
      <c r="O109" s="374">
        <v>2040</v>
      </c>
      <c r="P109" s="377">
        <v>291505.39</v>
      </c>
      <c r="Q109" s="379">
        <v>60.66</v>
      </c>
      <c r="R109" s="377">
        <v>1819.69</v>
      </c>
      <c r="S109" s="377">
        <v>22139.599999999999</v>
      </c>
      <c r="T109" s="378">
        <v>468969.44</v>
      </c>
      <c r="U109" s="371"/>
    </row>
    <row r="110" spans="1:21" ht="16" thickBot="1">
      <c r="A110" s="64"/>
      <c r="B110" s="386">
        <f t="shared" si="30"/>
        <v>604643.93999999994</v>
      </c>
      <c r="C110" s="66">
        <f t="shared" si="31"/>
        <v>125.82</v>
      </c>
      <c r="D110" s="387">
        <f t="shared" si="32"/>
        <v>3774.4300000000003</v>
      </c>
      <c r="E110" s="387">
        <f t="shared" si="33"/>
        <v>45922.22</v>
      </c>
      <c r="F110" s="66"/>
      <c r="H110" s="374">
        <v>2041</v>
      </c>
      <c r="I110" s="377">
        <v>310923.11</v>
      </c>
      <c r="J110" s="379">
        <v>64.7</v>
      </c>
      <c r="K110" s="377">
        <v>1940.91</v>
      </c>
      <c r="L110" s="377">
        <v>23614.36</v>
      </c>
      <c r="M110" s="378">
        <v>520049.83</v>
      </c>
      <c r="N110" s="371"/>
      <c r="O110" s="374">
        <v>2041</v>
      </c>
      <c r="P110" s="377">
        <v>293720.83</v>
      </c>
      <c r="Q110" s="379">
        <v>61.12</v>
      </c>
      <c r="R110" s="377">
        <v>1833.52</v>
      </c>
      <c r="S110" s="377">
        <v>22307.86</v>
      </c>
      <c r="T110" s="378">
        <v>491277.3</v>
      </c>
      <c r="U110" s="371"/>
    </row>
    <row r="111" spans="1:21" ht="16" thickBot="1">
      <c r="A111" s="64"/>
      <c r="B111" s="386">
        <f>SUM(I111+P111)</f>
        <v>609239.24</v>
      </c>
      <c r="C111" s="66">
        <f t="shared" si="31"/>
        <v>126.77</v>
      </c>
      <c r="D111" s="387">
        <f t="shared" si="32"/>
        <v>3803.12</v>
      </c>
      <c r="E111" s="387">
        <f t="shared" si="33"/>
        <v>46271.23</v>
      </c>
      <c r="F111" s="66"/>
      <c r="H111" s="374">
        <v>2042</v>
      </c>
      <c r="I111" s="377">
        <v>313286.13</v>
      </c>
      <c r="J111" s="379">
        <v>65.19</v>
      </c>
      <c r="K111" s="377">
        <v>1955.66</v>
      </c>
      <c r="L111" s="377">
        <v>23793.83</v>
      </c>
      <c r="M111" s="378">
        <v>543843.66</v>
      </c>
      <c r="N111" s="371"/>
      <c r="O111" s="374">
        <v>2042</v>
      </c>
      <c r="P111" s="377">
        <v>295953.11</v>
      </c>
      <c r="Q111" s="379">
        <v>61.58</v>
      </c>
      <c r="R111" s="377">
        <v>1847.46</v>
      </c>
      <c r="S111" s="377">
        <v>22477.4</v>
      </c>
      <c r="T111" s="378">
        <v>513754.7</v>
      </c>
      <c r="U111" s="371"/>
    </row>
    <row r="112" spans="1:21" ht="16" thickBot="1">
      <c r="A112" s="64"/>
      <c r="B112" s="386">
        <f t="shared" si="30"/>
        <v>613869.44999999995</v>
      </c>
      <c r="C112" s="66">
        <f t="shared" ref="C112" si="34">J112+Q112</f>
        <v>127.73</v>
      </c>
      <c r="D112" s="387">
        <f t="shared" ref="D112" si="35">K112+R112</f>
        <v>3832.02</v>
      </c>
      <c r="E112" s="387">
        <f t="shared" ref="E112" si="36">L112+S112</f>
        <v>46622.89</v>
      </c>
      <c r="F112" s="66"/>
      <c r="H112" s="374">
        <v>2043</v>
      </c>
      <c r="I112" s="377">
        <v>315667.09999999998</v>
      </c>
      <c r="J112" s="379">
        <v>65.680000000000007</v>
      </c>
      <c r="K112" s="377">
        <v>1970.52</v>
      </c>
      <c r="L112" s="377">
        <v>23974.66</v>
      </c>
      <c r="M112" s="378">
        <v>567818.31999999995</v>
      </c>
      <c r="N112" s="371"/>
      <c r="O112" s="374">
        <v>2043</v>
      </c>
      <c r="P112" s="377">
        <v>298202.34999999998</v>
      </c>
      <c r="Q112" s="379">
        <v>62.05</v>
      </c>
      <c r="R112" s="377">
        <v>1861.5</v>
      </c>
      <c r="S112" s="377">
        <v>22648.23</v>
      </c>
      <c r="T112" s="378">
        <v>536402.93000000005</v>
      </c>
      <c r="U112" s="371"/>
    </row>
    <row r="113" spans="1:21" ht="16" thickBot="1"/>
    <row r="114" spans="1:21" ht="16" thickBot="1">
      <c r="A114" s="433"/>
      <c r="B114" s="433"/>
      <c r="C114" s="436"/>
      <c r="D114" s="450"/>
      <c r="E114" s="450"/>
      <c r="F114" s="451"/>
      <c r="H114" s="427" t="s">
        <v>115</v>
      </c>
      <c r="I114" s="427" t="s">
        <v>47</v>
      </c>
      <c r="J114" s="430" t="s">
        <v>752</v>
      </c>
      <c r="K114" s="431"/>
      <c r="L114" s="431"/>
      <c r="M114" s="432"/>
      <c r="N114" s="371"/>
      <c r="O114" s="427" t="s">
        <v>115</v>
      </c>
      <c r="P114" s="427" t="s">
        <v>47</v>
      </c>
      <c r="Q114" s="430" t="s">
        <v>753</v>
      </c>
      <c r="R114" s="431"/>
      <c r="S114" s="431"/>
      <c r="T114" s="432"/>
      <c r="U114" s="371"/>
    </row>
    <row r="115" spans="1:21">
      <c r="A115" s="438"/>
      <c r="B115" s="438"/>
      <c r="C115" s="433"/>
      <c r="D115" s="433"/>
      <c r="E115" s="62"/>
      <c r="F115" s="433"/>
      <c r="H115" s="428"/>
      <c r="I115" s="428"/>
      <c r="J115" s="427" t="s">
        <v>117</v>
      </c>
      <c r="K115" s="427" t="s">
        <v>118</v>
      </c>
      <c r="L115" s="372" t="s">
        <v>119</v>
      </c>
      <c r="M115" s="427" t="s">
        <v>121</v>
      </c>
      <c r="N115" s="371"/>
      <c r="O115" s="428"/>
      <c r="P115" s="428"/>
      <c r="Q115" s="427" t="s">
        <v>117</v>
      </c>
      <c r="R115" s="427" t="s">
        <v>118</v>
      </c>
      <c r="S115" s="372" t="s">
        <v>119</v>
      </c>
      <c r="T115" s="427" t="s">
        <v>121</v>
      </c>
      <c r="U115" s="371"/>
    </row>
    <row r="116" spans="1:21" ht="16" thickBot="1">
      <c r="A116" s="439"/>
      <c r="B116" s="439"/>
      <c r="C116" s="439"/>
      <c r="D116" s="439"/>
      <c r="E116" s="63"/>
      <c r="F116" s="439"/>
      <c r="H116" s="429"/>
      <c r="I116" s="429"/>
      <c r="J116" s="429"/>
      <c r="K116" s="429"/>
      <c r="L116" s="373" t="s">
        <v>120</v>
      </c>
      <c r="M116" s="429"/>
      <c r="N116" s="371"/>
      <c r="O116" s="429"/>
      <c r="P116" s="429"/>
      <c r="Q116" s="429"/>
      <c r="R116" s="429"/>
      <c r="S116" s="373" t="s">
        <v>120</v>
      </c>
      <c r="T116" s="429"/>
      <c r="U116" s="371"/>
    </row>
    <row r="117" spans="1:21" ht="16" thickBot="1">
      <c r="A117" s="64"/>
      <c r="B117" s="386">
        <f t="shared" ref="B117:B142" si="37">SUM(I117+P117)</f>
        <v>504178</v>
      </c>
      <c r="C117" s="66">
        <f>J117+Q117</f>
        <v>135.25</v>
      </c>
      <c r="D117" s="66">
        <f t="shared" ref="D117:E117" si="38">K117+R117</f>
        <v>4113.88</v>
      </c>
      <c r="E117" s="66">
        <f t="shared" si="38"/>
        <v>49366.53</v>
      </c>
      <c r="F117" s="66"/>
      <c r="H117" s="380">
        <v>2018</v>
      </c>
      <c r="I117" s="381">
        <v>259261</v>
      </c>
      <c r="J117" s="382">
        <v>69.55</v>
      </c>
      <c r="K117" s="383">
        <v>2115.46</v>
      </c>
      <c r="L117" s="384">
        <v>25385.51</v>
      </c>
      <c r="M117" s="384">
        <v>25385.51</v>
      </c>
      <c r="N117" s="371"/>
      <c r="O117" s="380">
        <v>2018</v>
      </c>
      <c r="P117" s="381">
        <v>244917</v>
      </c>
      <c r="Q117" s="382">
        <v>65.7</v>
      </c>
      <c r="R117" s="383">
        <v>1998.42</v>
      </c>
      <c r="S117" s="384">
        <v>23981.02</v>
      </c>
      <c r="T117" s="384">
        <v>23981.02</v>
      </c>
      <c r="U117" s="371"/>
    </row>
    <row r="118" spans="1:21" ht="16" thickBot="1">
      <c r="A118" s="64"/>
      <c r="B118" s="386">
        <f t="shared" si="37"/>
        <v>512378.76</v>
      </c>
      <c r="C118" s="66">
        <f t="shared" ref="C118:C142" si="39">J118+Q118</f>
        <v>137.44999999999999</v>
      </c>
      <c r="D118" s="66">
        <f t="shared" ref="D118:D142" si="40">K118+R118</f>
        <v>4180.79</v>
      </c>
      <c r="E118" s="66">
        <f t="shared" ref="E118:E142" si="41">L118+S118</f>
        <v>50169.520000000004</v>
      </c>
      <c r="F118" s="66"/>
      <c r="H118" s="380">
        <v>2019</v>
      </c>
      <c r="I118" s="384">
        <v>263478.03999999998</v>
      </c>
      <c r="J118" s="382">
        <v>70.680000000000007</v>
      </c>
      <c r="K118" s="383">
        <v>2149.87</v>
      </c>
      <c r="L118" s="384">
        <v>25798.43</v>
      </c>
      <c r="M118" s="384">
        <v>51183.94</v>
      </c>
      <c r="N118" s="371"/>
      <c r="O118" s="380">
        <v>2019</v>
      </c>
      <c r="P118" s="384">
        <v>248900.72</v>
      </c>
      <c r="Q118" s="382">
        <v>66.77</v>
      </c>
      <c r="R118" s="383">
        <v>2030.92</v>
      </c>
      <c r="S118" s="384">
        <v>24371.09</v>
      </c>
      <c r="T118" s="384">
        <v>48352.11</v>
      </c>
      <c r="U118" s="371"/>
    </row>
    <row r="119" spans="1:21" ht="16" thickBot="1">
      <c r="A119" s="64"/>
      <c r="B119" s="386">
        <f t="shared" si="37"/>
        <v>516529.03</v>
      </c>
      <c r="C119" s="66">
        <f t="shared" si="39"/>
        <v>138.56</v>
      </c>
      <c r="D119" s="66">
        <f t="shared" si="40"/>
        <v>4214.6499999999996</v>
      </c>
      <c r="E119" s="66">
        <f t="shared" si="41"/>
        <v>50575.89</v>
      </c>
      <c r="F119" s="66"/>
      <c r="H119" s="380">
        <v>2020</v>
      </c>
      <c r="I119" s="384">
        <v>265612.21000000002</v>
      </c>
      <c r="J119" s="382">
        <v>71.25</v>
      </c>
      <c r="K119" s="384">
        <v>2167.2800000000002</v>
      </c>
      <c r="L119" s="384">
        <v>26007.39</v>
      </c>
      <c r="M119" s="384">
        <v>77191.33</v>
      </c>
      <c r="N119" s="371"/>
      <c r="O119" s="380">
        <v>2020</v>
      </c>
      <c r="P119" s="384">
        <v>250916.82</v>
      </c>
      <c r="Q119" s="382">
        <v>67.31</v>
      </c>
      <c r="R119" s="384">
        <v>2047.37</v>
      </c>
      <c r="S119" s="384">
        <v>24568.5</v>
      </c>
      <c r="T119" s="384">
        <v>72920.61</v>
      </c>
      <c r="U119" s="371"/>
    </row>
    <row r="120" spans="1:21" ht="16" thickBot="1">
      <c r="A120" s="64"/>
      <c r="B120" s="386">
        <f t="shared" si="37"/>
        <v>520712.92</v>
      </c>
      <c r="C120" s="66">
        <f t="shared" si="39"/>
        <v>139.69</v>
      </c>
      <c r="D120" s="66">
        <f t="shared" si="40"/>
        <v>4248.8</v>
      </c>
      <c r="E120" s="66">
        <f t="shared" si="41"/>
        <v>50985.55</v>
      </c>
      <c r="F120" s="66"/>
      <c r="H120" s="380">
        <v>2021</v>
      </c>
      <c r="I120" s="384">
        <v>267763.67</v>
      </c>
      <c r="J120" s="382">
        <v>71.83</v>
      </c>
      <c r="K120" s="384">
        <v>2184.84</v>
      </c>
      <c r="L120" s="384">
        <v>26218.05</v>
      </c>
      <c r="M120" s="384">
        <v>103409.39</v>
      </c>
      <c r="N120" s="371"/>
      <c r="O120" s="380">
        <v>2021</v>
      </c>
      <c r="P120" s="384">
        <v>252949.25</v>
      </c>
      <c r="Q120" s="382">
        <v>67.86</v>
      </c>
      <c r="R120" s="384">
        <v>2063.96</v>
      </c>
      <c r="S120" s="384">
        <v>24767.5</v>
      </c>
      <c r="T120" s="384">
        <v>97688.11</v>
      </c>
      <c r="U120" s="371"/>
    </row>
    <row r="121" spans="1:21" ht="16" thickBot="1">
      <c r="A121" s="64"/>
      <c r="B121" s="386">
        <f t="shared" si="37"/>
        <v>524930.69999999995</v>
      </c>
      <c r="C121" s="66">
        <f t="shared" si="39"/>
        <v>140.82</v>
      </c>
      <c r="D121" s="66">
        <f t="shared" si="40"/>
        <v>4283.21</v>
      </c>
      <c r="E121" s="66">
        <f t="shared" si="41"/>
        <v>51398.539999999994</v>
      </c>
      <c r="F121" s="66"/>
      <c r="H121" s="380">
        <v>2022</v>
      </c>
      <c r="I121" s="384">
        <v>269932.56</v>
      </c>
      <c r="J121" s="382">
        <v>72.41</v>
      </c>
      <c r="K121" s="384">
        <v>2202.5300000000002</v>
      </c>
      <c r="L121" s="384">
        <v>26430.42</v>
      </c>
      <c r="M121" s="384">
        <v>129839.81</v>
      </c>
      <c r="N121" s="371"/>
      <c r="O121" s="380">
        <v>2022</v>
      </c>
      <c r="P121" s="384">
        <v>254998.14</v>
      </c>
      <c r="Q121" s="382">
        <v>68.41</v>
      </c>
      <c r="R121" s="384">
        <v>2080.6799999999998</v>
      </c>
      <c r="S121" s="384">
        <v>24968.12</v>
      </c>
      <c r="T121" s="384">
        <v>122656.23</v>
      </c>
      <c r="U121" s="371"/>
    </row>
    <row r="122" spans="1:21" ht="16" thickBot="1">
      <c r="A122" s="64"/>
      <c r="B122" s="386">
        <f t="shared" si="37"/>
        <v>529182.63</v>
      </c>
      <c r="C122" s="66">
        <f t="shared" si="39"/>
        <v>141.95999999999998</v>
      </c>
      <c r="D122" s="66">
        <f t="shared" si="40"/>
        <v>4317.91</v>
      </c>
      <c r="E122" s="66">
        <f t="shared" si="41"/>
        <v>51814.869999999995</v>
      </c>
      <c r="F122" s="66"/>
      <c r="H122" s="380">
        <v>2023</v>
      </c>
      <c r="I122" s="384">
        <v>272119.01</v>
      </c>
      <c r="J122" s="382">
        <v>73</v>
      </c>
      <c r="K122" s="384">
        <v>2220.38</v>
      </c>
      <c r="L122" s="384">
        <v>26644.51</v>
      </c>
      <c r="M122" s="384">
        <v>156484.31</v>
      </c>
      <c r="N122" s="371"/>
      <c r="O122" s="380">
        <v>2023</v>
      </c>
      <c r="P122" s="384">
        <v>257063.62</v>
      </c>
      <c r="Q122" s="382">
        <v>68.959999999999994</v>
      </c>
      <c r="R122" s="384">
        <v>2097.5300000000002</v>
      </c>
      <c r="S122" s="384">
        <v>25170.36</v>
      </c>
      <c r="T122" s="384">
        <v>147826.57999999999</v>
      </c>
      <c r="U122" s="371"/>
    </row>
    <row r="123" spans="1:21" ht="16" thickBot="1">
      <c r="A123" s="64"/>
      <c r="B123" s="386">
        <f t="shared" si="37"/>
        <v>533469.01</v>
      </c>
      <c r="C123" s="66">
        <f t="shared" si="39"/>
        <v>143.11000000000001</v>
      </c>
      <c r="D123" s="66">
        <f t="shared" si="40"/>
        <v>4352.88</v>
      </c>
      <c r="E123" s="66">
        <f t="shared" si="41"/>
        <v>52234.570000000007</v>
      </c>
      <c r="F123" s="66"/>
      <c r="H123" s="380">
        <v>2024</v>
      </c>
      <c r="I123" s="384">
        <v>274323.17</v>
      </c>
      <c r="J123" s="382">
        <v>73.59</v>
      </c>
      <c r="K123" s="384">
        <v>2238.36</v>
      </c>
      <c r="L123" s="384">
        <v>26860.33</v>
      </c>
      <c r="M123" s="384">
        <v>183344.64000000001</v>
      </c>
      <c r="N123" s="371"/>
      <c r="O123" s="380">
        <v>2024</v>
      </c>
      <c r="P123" s="384">
        <v>259145.84</v>
      </c>
      <c r="Q123" s="382">
        <v>69.52</v>
      </c>
      <c r="R123" s="384">
        <v>2114.52</v>
      </c>
      <c r="S123" s="384">
        <v>25374.240000000002</v>
      </c>
      <c r="T123" s="384">
        <v>173200.82</v>
      </c>
      <c r="U123" s="371"/>
    </row>
    <row r="124" spans="1:21" ht="16" thickBot="1">
      <c r="A124" s="64"/>
      <c r="B124" s="386">
        <f t="shared" si="37"/>
        <v>537790.11</v>
      </c>
      <c r="C124" s="66">
        <f t="shared" si="39"/>
        <v>144.26999999999998</v>
      </c>
      <c r="D124" s="66">
        <f t="shared" si="40"/>
        <v>4388.1399999999994</v>
      </c>
      <c r="E124" s="66">
        <f t="shared" si="41"/>
        <v>52657.66</v>
      </c>
      <c r="F124" s="66"/>
      <c r="H124" s="380">
        <v>2025</v>
      </c>
      <c r="I124" s="384">
        <v>276545.19</v>
      </c>
      <c r="J124" s="382">
        <v>74.19</v>
      </c>
      <c r="K124" s="384">
        <v>2256.4899999999998</v>
      </c>
      <c r="L124" s="384">
        <v>27077.89</v>
      </c>
      <c r="M124" s="384">
        <v>210422.53</v>
      </c>
      <c r="N124" s="371"/>
      <c r="O124" s="380">
        <v>2025</v>
      </c>
      <c r="P124" s="384">
        <v>261244.92</v>
      </c>
      <c r="Q124" s="382">
        <v>70.08</v>
      </c>
      <c r="R124" s="384">
        <v>2131.65</v>
      </c>
      <c r="S124" s="384">
        <v>25579.77</v>
      </c>
      <c r="T124" s="384">
        <v>198780.59</v>
      </c>
      <c r="U124" s="371"/>
    </row>
    <row r="125" spans="1:21" ht="16" thickBot="1">
      <c r="A125" s="64"/>
      <c r="B125" s="386">
        <f t="shared" si="37"/>
        <v>542146.21</v>
      </c>
      <c r="C125" s="66">
        <f t="shared" si="39"/>
        <v>145.44</v>
      </c>
      <c r="D125" s="66">
        <f t="shared" si="40"/>
        <v>4423.68</v>
      </c>
      <c r="E125" s="66">
        <f t="shared" si="41"/>
        <v>53084.2</v>
      </c>
      <c r="F125" s="66"/>
      <c r="H125" s="380">
        <v>2026</v>
      </c>
      <c r="I125" s="384">
        <v>278785.21000000002</v>
      </c>
      <c r="J125" s="382">
        <v>74.790000000000006</v>
      </c>
      <c r="K125" s="384">
        <v>2274.77</v>
      </c>
      <c r="L125" s="384">
        <v>27297.23</v>
      </c>
      <c r="M125" s="384">
        <v>237719.76</v>
      </c>
      <c r="N125" s="371"/>
      <c r="O125" s="380">
        <v>2026</v>
      </c>
      <c r="P125" s="384">
        <v>263361</v>
      </c>
      <c r="Q125" s="382">
        <v>70.650000000000006</v>
      </c>
      <c r="R125" s="384">
        <v>2148.91</v>
      </c>
      <c r="S125" s="384">
        <v>25786.97</v>
      </c>
      <c r="T125" s="384">
        <v>224567.56</v>
      </c>
      <c r="U125" s="371"/>
    </row>
    <row r="126" spans="1:21" ht="16" thickBot="1">
      <c r="A126" s="64"/>
      <c r="B126" s="386">
        <f t="shared" si="37"/>
        <v>546537.59</v>
      </c>
      <c r="C126" s="66">
        <f t="shared" si="39"/>
        <v>146.61000000000001</v>
      </c>
      <c r="D126" s="66">
        <f t="shared" si="40"/>
        <v>4459.51</v>
      </c>
      <c r="E126" s="66">
        <f t="shared" si="41"/>
        <v>53514.17</v>
      </c>
      <c r="F126" s="66"/>
      <c r="H126" s="380">
        <v>2027</v>
      </c>
      <c r="I126" s="384">
        <v>281043.37</v>
      </c>
      <c r="J126" s="382">
        <v>75.39</v>
      </c>
      <c r="K126" s="384">
        <v>2293.19</v>
      </c>
      <c r="L126" s="384">
        <v>27518.33</v>
      </c>
      <c r="M126" s="384">
        <v>265238.09000000003</v>
      </c>
      <c r="N126" s="371"/>
      <c r="O126" s="380">
        <v>2027</v>
      </c>
      <c r="P126" s="384">
        <v>265494.21999999997</v>
      </c>
      <c r="Q126" s="382">
        <v>71.22</v>
      </c>
      <c r="R126" s="384">
        <v>2166.3200000000002</v>
      </c>
      <c r="S126" s="384">
        <v>25995.84</v>
      </c>
      <c r="T126" s="384">
        <v>250563.4</v>
      </c>
      <c r="U126" s="371"/>
    </row>
    <row r="127" spans="1:21" ht="16" thickBot="1">
      <c r="A127" s="64"/>
      <c r="B127" s="386">
        <f t="shared" si="37"/>
        <v>550964.55000000005</v>
      </c>
      <c r="C127" s="66">
        <f t="shared" si="39"/>
        <v>147.80000000000001</v>
      </c>
      <c r="D127" s="66">
        <f t="shared" si="40"/>
        <v>4495.6399999999994</v>
      </c>
      <c r="E127" s="66">
        <f t="shared" si="41"/>
        <v>53947.64</v>
      </c>
      <c r="F127" s="66"/>
      <c r="H127" s="380">
        <v>2028</v>
      </c>
      <c r="I127" s="384">
        <v>283319.82</v>
      </c>
      <c r="J127" s="382">
        <v>76</v>
      </c>
      <c r="K127" s="384">
        <v>2311.77</v>
      </c>
      <c r="L127" s="384">
        <v>27741.23</v>
      </c>
      <c r="M127" s="384">
        <v>292979.32</v>
      </c>
      <c r="N127" s="371"/>
      <c r="O127" s="380">
        <v>2028</v>
      </c>
      <c r="P127" s="384">
        <v>267644.73</v>
      </c>
      <c r="Q127" s="382">
        <v>71.8</v>
      </c>
      <c r="R127" s="384">
        <v>2183.87</v>
      </c>
      <c r="S127" s="384">
        <v>26206.41</v>
      </c>
      <c r="T127" s="384">
        <v>276769.81</v>
      </c>
      <c r="U127" s="371"/>
    </row>
    <row r="128" spans="1:21" ht="16" thickBot="1">
      <c r="A128" s="64"/>
      <c r="B128" s="386">
        <f t="shared" si="37"/>
        <v>555427.3600000001</v>
      </c>
      <c r="C128" s="66">
        <f t="shared" si="39"/>
        <v>149</v>
      </c>
      <c r="D128" s="66">
        <f t="shared" si="40"/>
        <v>4532.0499999999993</v>
      </c>
      <c r="E128" s="66">
        <f t="shared" si="41"/>
        <v>54384.619999999995</v>
      </c>
      <c r="F128" s="66"/>
      <c r="H128" s="380">
        <v>2029</v>
      </c>
      <c r="I128" s="384">
        <v>285614.71000000002</v>
      </c>
      <c r="J128" s="382">
        <v>76.62</v>
      </c>
      <c r="K128" s="384">
        <v>2330.4899999999998</v>
      </c>
      <c r="L128" s="384">
        <v>27965.94</v>
      </c>
      <c r="M128" s="384">
        <v>320945.26</v>
      </c>
      <c r="N128" s="371"/>
      <c r="O128" s="380">
        <v>2029</v>
      </c>
      <c r="P128" s="384">
        <v>269812.65000000002</v>
      </c>
      <c r="Q128" s="382">
        <v>72.38</v>
      </c>
      <c r="R128" s="384">
        <v>2201.56</v>
      </c>
      <c r="S128" s="384">
        <v>26418.68</v>
      </c>
      <c r="T128" s="384">
        <v>303188.47999999998</v>
      </c>
      <c r="U128" s="371"/>
    </row>
    <row r="129" spans="1:21" ht="16" thickBot="1">
      <c r="A129" s="64"/>
      <c r="B129" s="386">
        <f t="shared" si="37"/>
        <v>559926.32000000007</v>
      </c>
      <c r="C129" s="66">
        <f t="shared" si="39"/>
        <v>150.20999999999998</v>
      </c>
      <c r="D129" s="66">
        <f t="shared" si="40"/>
        <v>4568.76</v>
      </c>
      <c r="E129" s="66">
        <f t="shared" si="41"/>
        <v>54825.13</v>
      </c>
      <c r="F129" s="66"/>
      <c r="H129" s="380">
        <v>2030</v>
      </c>
      <c r="I129" s="383">
        <v>287928.19</v>
      </c>
      <c r="J129" s="385">
        <v>77.239999999999995</v>
      </c>
      <c r="K129" s="383">
        <v>2349.37</v>
      </c>
      <c r="L129" s="383">
        <v>28192.46</v>
      </c>
      <c r="M129" s="384">
        <v>349137.72</v>
      </c>
      <c r="N129" s="371"/>
      <c r="O129" s="380">
        <v>2030</v>
      </c>
      <c r="P129" s="383">
        <v>271998.13</v>
      </c>
      <c r="Q129" s="385">
        <v>72.97</v>
      </c>
      <c r="R129" s="383">
        <v>2219.39</v>
      </c>
      <c r="S129" s="383">
        <v>26632.67</v>
      </c>
      <c r="T129" s="384">
        <v>329821.15000000002</v>
      </c>
      <c r="U129" s="371"/>
    </row>
    <row r="130" spans="1:21" ht="16" thickBot="1">
      <c r="A130" s="64"/>
      <c r="B130" s="386">
        <f t="shared" si="37"/>
        <v>564461.73</v>
      </c>
      <c r="C130" s="66">
        <f t="shared" si="39"/>
        <v>151.43</v>
      </c>
      <c r="D130" s="66">
        <f t="shared" si="40"/>
        <v>4605.7700000000004</v>
      </c>
      <c r="E130" s="66">
        <f t="shared" si="41"/>
        <v>55269.21</v>
      </c>
      <c r="F130" s="66"/>
      <c r="H130" s="380">
        <v>2031</v>
      </c>
      <c r="I130" s="383">
        <v>290260.40999999997</v>
      </c>
      <c r="J130" s="385">
        <v>77.87</v>
      </c>
      <c r="K130" s="383">
        <v>2368.4</v>
      </c>
      <c r="L130" s="383">
        <v>28420.82</v>
      </c>
      <c r="M130" s="384">
        <v>377558.54</v>
      </c>
      <c r="N130" s="371"/>
      <c r="O130" s="380">
        <v>2031</v>
      </c>
      <c r="P130" s="383">
        <v>274201.32</v>
      </c>
      <c r="Q130" s="385">
        <v>73.56</v>
      </c>
      <c r="R130" s="383">
        <v>2237.37</v>
      </c>
      <c r="S130" s="383">
        <v>26848.39</v>
      </c>
      <c r="T130" s="384">
        <v>356669.55</v>
      </c>
      <c r="U130" s="371"/>
    </row>
    <row r="131" spans="1:21" ht="16" thickBot="1">
      <c r="A131" s="64"/>
      <c r="B131" s="386">
        <f t="shared" si="37"/>
        <v>569033.87</v>
      </c>
      <c r="C131" s="66">
        <f t="shared" si="39"/>
        <v>152.65</v>
      </c>
      <c r="D131" s="66">
        <f t="shared" si="40"/>
        <v>4643.08</v>
      </c>
      <c r="E131" s="66">
        <f t="shared" si="41"/>
        <v>55716.899999999994</v>
      </c>
      <c r="F131" s="66"/>
      <c r="H131" s="380">
        <v>2032</v>
      </c>
      <c r="I131" s="383">
        <v>292611.52</v>
      </c>
      <c r="J131" s="385">
        <v>78.5</v>
      </c>
      <c r="K131" s="383">
        <v>2387.59</v>
      </c>
      <c r="L131" s="383">
        <v>28651.03</v>
      </c>
      <c r="M131" s="384">
        <v>406209.56</v>
      </c>
      <c r="N131" s="371"/>
      <c r="O131" s="380">
        <v>2032</v>
      </c>
      <c r="P131" s="383">
        <v>276422.34999999998</v>
      </c>
      <c r="Q131" s="385">
        <v>74.150000000000006</v>
      </c>
      <c r="R131" s="383">
        <v>2255.4899999999998</v>
      </c>
      <c r="S131" s="383">
        <v>27065.87</v>
      </c>
      <c r="T131" s="384">
        <v>383735.42</v>
      </c>
      <c r="U131" s="371"/>
    </row>
    <row r="132" spans="1:21" ht="16" thickBot="1">
      <c r="A132" s="64"/>
      <c r="B132" s="386">
        <f t="shared" si="37"/>
        <v>573643.04</v>
      </c>
      <c r="C132" s="66">
        <f t="shared" si="39"/>
        <v>153.88</v>
      </c>
      <c r="D132" s="66">
        <f t="shared" si="40"/>
        <v>4680.6900000000005</v>
      </c>
      <c r="E132" s="66">
        <f t="shared" si="41"/>
        <v>56168.2</v>
      </c>
      <c r="F132" s="66"/>
      <c r="H132" s="380">
        <v>2033</v>
      </c>
      <c r="I132" s="383">
        <v>294981.67</v>
      </c>
      <c r="J132" s="385">
        <v>79.13</v>
      </c>
      <c r="K132" s="383">
        <v>2406.9299999999998</v>
      </c>
      <c r="L132" s="383">
        <v>28883.1</v>
      </c>
      <c r="M132" s="384">
        <v>435092.66</v>
      </c>
      <c r="N132" s="371"/>
      <c r="O132" s="380">
        <v>2033</v>
      </c>
      <c r="P132" s="383">
        <v>278661.37</v>
      </c>
      <c r="Q132" s="385">
        <v>74.75</v>
      </c>
      <c r="R132" s="383">
        <v>2273.7600000000002</v>
      </c>
      <c r="S132" s="383">
        <v>27285.1</v>
      </c>
      <c r="T132" s="384">
        <v>411020.52</v>
      </c>
      <c r="U132" s="371"/>
    </row>
    <row r="133" spans="1:21" ht="16" thickBot="1">
      <c r="A133" s="64"/>
      <c r="B133" s="386">
        <f t="shared" si="37"/>
        <v>578289.55000000005</v>
      </c>
      <c r="C133" s="66">
        <f t="shared" si="39"/>
        <v>155.13</v>
      </c>
      <c r="D133" s="66">
        <f t="shared" si="40"/>
        <v>4718.6000000000004</v>
      </c>
      <c r="E133" s="66">
        <f t="shared" si="41"/>
        <v>56623.16</v>
      </c>
      <c r="F133" s="66"/>
      <c r="H133" s="380">
        <v>2034</v>
      </c>
      <c r="I133" s="383">
        <v>297371.02</v>
      </c>
      <c r="J133" s="385">
        <v>79.77</v>
      </c>
      <c r="K133" s="383">
        <v>2426.42</v>
      </c>
      <c r="L133" s="383">
        <v>29117.05</v>
      </c>
      <c r="M133" s="384">
        <v>464209.72</v>
      </c>
      <c r="N133" s="371"/>
      <c r="O133" s="380">
        <v>2034</v>
      </c>
      <c r="P133" s="383">
        <v>280918.53000000003</v>
      </c>
      <c r="Q133" s="385">
        <v>75.36</v>
      </c>
      <c r="R133" s="383">
        <v>2292.1799999999998</v>
      </c>
      <c r="S133" s="383">
        <v>27506.11</v>
      </c>
      <c r="T133" s="384">
        <v>438526.63</v>
      </c>
      <c r="U133" s="371"/>
    </row>
    <row r="134" spans="1:21" ht="16" thickBot="1">
      <c r="A134" s="64"/>
      <c r="B134" s="386">
        <f t="shared" si="37"/>
        <v>582973.69999999995</v>
      </c>
      <c r="C134" s="66">
        <f t="shared" si="39"/>
        <v>156.38999999999999</v>
      </c>
      <c r="D134" s="66">
        <f t="shared" si="40"/>
        <v>4756.82</v>
      </c>
      <c r="E134" s="66">
        <f t="shared" si="41"/>
        <v>57081.81</v>
      </c>
      <c r="F134" s="66"/>
      <c r="H134" s="380">
        <v>2035</v>
      </c>
      <c r="I134" s="383">
        <v>299779.73</v>
      </c>
      <c r="J134" s="385">
        <v>80.42</v>
      </c>
      <c r="K134" s="383">
        <v>2446.08</v>
      </c>
      <c r="L134" s="383">
        <v>29352.9</v>
      </c>
      <c r="M134" s="384">
        <v>493562.62</v>
      </c>
      <c r="N134" s="371"/>
      <c r="O134" s="380">
        <v>2035</v>
      </c>
      <c r="P134" s="383">
        <v>283193.96999999997</v>
      </c>
      <c r="Q134" s="385">
        <v>75.97</v>
      </c>
      <c r="R134" s="383">
        <v>2310.7399999999998</v>
      </c>
      <c r="S134" s="383">
        <v>27728.91</v>
      </c>
      <c r="T134" s="384">
        <v>466255.53</v>
      </c>
      <c r="U134" s="371"/>
    </row>
    <row r="135" spans="1:21" ht="16" thickBot="1">
      <c r="A135" s="64"/>
      <c r="B135" s="386">
        <f t="shared" si="37"/>
        <v>587695.78</v>
      </c>
      <c r="C135" s="66">
        <f t="shared" si="39"/>
        <v>157.64999999999998</v>
      </c>
      <c r="D135" s="66">
        <f t="shared" si="40"/>
        <v>4795.3500000000004</v>
      </c>
      <c r="E135" s="66">
        <f t="shared" si="41"/>
        <v>57544.17</v>
      </c>
      <c r="F135" s="66"/>
      <c r="H135" s="380">
        <v>2036</v>
      </c>
      <c r="I135" s="383">
        <v>302207.94</v>
      </c>
      <c r="J135" s="385">
        <v>81.069999999999993</v>
      </c>
      <c r="K135" s="383">
        <v>2465.89</v>
      </c>
      <c r="L135" s="383">
        <v>29590.66</v>
      </c>
      <c r="M135" s="384">
        <v>523153.28</v>
      </c>
      <c r="N135" s="371"/>
      <c r="O135" s="380">
        <v>2036</v>
      </c>
      <c r="P135" s="383">
        <v>285487.84000000003</v>
      </c>
      <c r="Q135" s="385">
        <v>76.58</v>
      </c>
      <c r="R135" s="383">
        <v>2329.46</v>
      </c>
      <c r="S135" s="383">
        <v>27953.51</v>
      </c>
      <c r="T135" s="384">
        <v>494209.05</v>
      </c>
      <c r="U135" s="371"/>
    </row>
    <row r="136" spans="1:21" ht="16" thickBot="1">
      <c r="A136" s="64"/>
      <c r="B136" s="386">
        <f t="shared" si="37"/>
        <v>592456.12</v>
      </c>
      <c r="C136" s="66">
        <f t="shared" si="39"/>
        <v>158.94</v>
      </c>
      <c r="D136" s="66">
        <f t="shared" si="40"/>
        <v>4834.1900000000005</v>
      </c>
      <c r="E136" s="66">
        <f t="shared" si="41"/>
        <v>58010.28</v>
      </c>
      <c r="F136" s="66"/>
      <c r="H136" s="380">
        <v>2037</v>
      </c>
      <c r="I136" s="383">
        <v>304655.83</v>
      </c>
      <c r="J136" s="385">
        <v>81.73</v>
      </c>
      <c r="K136" s="383">
        <v>2485.86</v>
      </c>
      <c r="L136" s="383">
        <v>29830.34</v>
      </c>
      <c r="M136" s="384">
        <v>552983.62</v>
      </c>
      <c r="N136" s="371"/>
      <c r="O136" s="380">
        <v>2037</v>
      </c>
      <c r="P136" s="383">
        <v>287800.28999999998</v>
      </c>
      <c r="Q136" s="385">
        <v>77.209999999999994</v>
      </c>
      <c r="R136" s="383">
        <v>2348.33</v>
      </c>
      <c r="S136" s="383">
        <v>28179.94</v>
      </c>
      <c r="T136" s="384">
        <v>522388.98</v>
      </c>
      <c r="U136" s="371"/>
    </row>
    <row r="137" spans="1:21" ht="16" thickBot="1">
      <c r="A137" s="64"/>
      <c r="B137" s="386">
        <f t="shared" si="37"/>
        <v>597255.01</v>
      </c>
      <c r="C137" s="66">
        <f t="shared" si="39"/>
        <v>160.22</v>
      </c>
      <c r="D137" s="66">
        <f t="shared" si="40"/>
        <v>4873.3500000000004</v>
      </c>
      <c r="E137" s="66">
        <f t="shared" si="41"/>
        <v>58480.160000000003</v>
      </c>
      <c r="F137" s="66"/>
      <c r="H137" s="380">
        <v>2038</v>
      </c>
      <c r="I137" s="383">
        <v>307123.53999999998</v>
      </c>
      <c r="J137" s="385">
        <v>82.39</v>
      </c>
      <c r="K137" s="383">
        <v>2506</v>
      </c>
      <c r="L137" s="383">
        <v>30071.97</v>
      </c>
      <c r="M137" s="384">
        <v>583055.6</v>
      </c>
      <c r="N137" s="371"/>
      <c r="O137" s="380">
        <v>2038</v>
      </c>
      <c r="P137" s="383">
        <v>290131.46999999997</v>
      </c>
      <c r="Q137" s="385">
        <v>77.83</v>
      </c>
      <c r="R137" s="383">
        <v>2367.35</v>
      </c>
      <c r="S137" s="383">
        <v>28408.19</v>
      </c>
      <c r="T137" s="384">
        <v>550797.18000000005</v>
      </c>
      <c r="U137" s="371"/>
    </row>
    <row r="138" spans="1:21" ht="16" thickBot="1">
      <c r="A138" s="64"/>
      <c r="B138" s="386">
        <f t="shared" si="37"/>
        <v>602092.78</v>
      </c>
      <c r="C138" s="66">
        <f t="shared" si="39"/>
        <v>161.51999999999998</v>
      </c>
      <c r="D138" s="66">
        <f t="shared" si="40"/>
        <v>4912.83</v>
      </c>
      <c r="E138" s="66">
        <f t="shared" si="41"/>
        <v>58953.85</v>
      </c>
      <c r="F138" s="66"/>
      <c r="H138" s="380">
        <v>2039</v>
      </c>
      <c r="I138" s="383">
        <v>309611.24</v>
      </c>
      <c r="J138" s="385">
        <v>83.06</v>
      </c>
      <c r="K138" s="383">
        <v>2526.3000000000002</v>
      </c>
      <c r="L138" s="383">
        <v>30315.55</v>
      </c>
      <c r="M138" s="384">
        <v>613371.15</v>
      </c>
      <c r="N138" s="371"/>
      <c r="O138" s="380">
        <v>2039</v>
      </c>
      <c r="P138" s="383">
        <v>292481.53999999998</v>
      </c>
      <c r="Q138" s="385">
        <v>78.459999999999994</v>
      </c>
      <c r="R138" s="383">
        <v>2386.5300000000002</v>
      </c>
      <c r="S138" s="383">
        <v>28638.3</v>
      </c>
      <c r="T138" s="384">
        <v>579435.48</v>
      </c>
      <c r="U138" s="371"/>
    </row>
    <row r="139" spans="1:21" ht="16" thickBot="1">
      <c r="A139" s="64"/>
      <c r="B139" s="386">
        <f t="shared" si="37"/>
        <v>606969.73</v>
      </c>
      <c r="C139" s="66">
        <f t="shared" si="39"/>
        <v>162.82999999999998</v>
      </c>
      <c r="D139" s="66">
        <f t="shared" si="40"/>
        <v>4952.6200000000008</v>
      </c>
      <c r="E139" s="66">
        <f t="shared" si="41"/>
        <v>59431.380000000005</v>
      </c>
      <c r="F139" s="66"/>
      <c r="H139" s="380">
        <v>2040</v>
      </c>
      <c r="I139" s="383">
        <v>312119.09000000003</v>
      </c>
      <c r="J139" s="385">
        <v>83.73</v>
      </c>
      <c r="K139" s="383">
        <v>2546.7600000000002</v>
      </c>
      <c r="L139" s="383">
        <v>30561.11</v>
      </c>
      <c r="M139" s="384">
        <v>643932.26</v>
      </c>
      <c r="N139" s="371"/>
      <c r="O139" s="380">
        <v>2040</v>
      </c>
      <c r="P139" s="383">
        <v>294850.64</v>
      </c>
      <c r="Q139" s="385">
        <v>79.099999999999994</v>
      </c>
      <c r="R139" s="383">
        <v>2405.86</v>
      </c>
      <c r="S139" s="383">
        <v>28870.27</v>
      </c>
      <c r="T139" s="384">
        <v>608305.75</v>
      </c>
      <c r="U139" s="371"/>
    </row>
    <row r="140" spans="1:21" ht="16" thickBot="1">
      <c r="A140" s="64"/>
      <c r="B140" s="386">
        <f t="shared" si="37"/>
        <v>611886.17999999993</v>
      </c>
      <c r="C140" s="66">
        <f t="shared" si="39"/>
        <v>164.14999999999998</v>
      </c>
      <c r="D140" s="66">
        <f t="shared" si="40"/>
        <v>4992.7299999999996</v>
      </c>
      <c r="E140" s="66">
        <f t="shared" si="41"/>
        <v>59912.770000000004</v>
      </c>
      <c r="F140" s="66"/>
      <c r="H140" s="380">
        <v>2041</v>
      </c>
      <c r="I140" s="383">
        <v>314647.25</v>
      </c>
      <c r="J140" s="385">
        <v>84.41</v>
      </c>
      <c r="K140" s="383">
        <v>2567.39</v>
      </c>
      <c r="L140" s="383">
        <v>30808.65</v>
      </c>
      <c r="M140" s="384">
        <v>674740.91</v>
      </c>
      <c r="N140" s="371"/>
      <c r="O140" s="380">
        <v>2041</v>
      </c>
      <c r="P140" s="383">
        <v>297238.93</v>
      </c>
      <c r="Q140" s="385">
        <v>79.739999999999995</v>
      </c>
      <c r="R140" s="383">
        <v>2425.34</v>
      </c>
      <c r="S140" s="383">
        <v>29104.12</v>
      </c>
      <c r="T140" s="384">
        <v>637409.87</v>
      </c>
      <c r="U140" s="371"/>
    </row>
    <row r="141" spans="1:21" ht="16" thickBot="1">
      <c r="A141" s="64"/>
      <c r="B141" s="386">
        <f t="shared" si="37"/>
        <v>616842.46</v>
      </c>
      <c r="C141" s="66">
        <f t="shared" si="39"/>
        <v>165.47</v>
      </c>
      <c r="D141" s="66">
        <f t="shared" si="40"/>
        <v>5033.17</v>
      </c>
      <c r="E141" s="66">
        <f t="shared" si="41"/>
        <v>60398.06</v>
      </c>
      <c r="F141" s="66"/>
      <c r="H141" s="380">
        <v>2042</v>
      </c>
      <c r="I141" s="383">
        <v>317195.90000000002</v>
      </c>
      <c r="J141" s="385">
        <v>85.09</v>
      </c>
      <c r="K141" s="383">
        <v>2588.1799999999998</v>
      </c>
      <c r="L141" s="383">
        <v>31058.2</v>
      </c>
      <c r="M141" s="384">
        <v>705799.12</v>
      </c>
      <c r="N141" s="371"/>
      <c r="O141" s="380">
        <v>2042</v>
      </c>
      <c r="P141" s="383">
        <v>299646.56</v>
      </c>
      <c r="Q141" s="385">
        <v>80.38</v>
      </c>
      <c r="R141" s="383">
        <v>2444.9899999999998</v>
      </c>
      <c r="S141" s="383">
        <v>29339.86</v>
      </c>
      <c r="T141" s="384">
        <v>666749.73</v>
      </c>
      <c r="U141" s="371"/>
    </row>
    <row r="142" spans="1:21" ht="16" thickBot="1">
      <c r="A142" s="64"/>
      <c r="B142" s="386">
        <f t="shared" si="37"/>
        <v>621838.88</v>
      </c>
      <c r="C142" s="66">
        <f t="shared" si="39"/>
        <v>166.81</v>
      </c>
      <c r="D142" s="66">
        <f t="shared" si="40"/>
        <v>5073.9400000000005</v>
      </c>
      <c r="E142" s="66">
        <f t="shared" si="41"/>
        <v>60887.3</v>
      </c>
      <c r="F142" s="66"/>
      <c r="H142" s="380">
        <v>2043</v>
      </c>
      <c r="I142" s="383">
        <v>319765.18</v>
      </c>
      <c r="J142" s="385">
        <v>85.78</v>
      </c>
      <c r="K142" s="383">
        <v>2609.15</v>
      </c>
      <c r="L142" s="383">
        <v>31309.78</v>
      </c>
      <c r="M142" s="384">
        <v>737108.89</v>
      </c>
      <c r="N142" s="371"/>
      <c r="O142" s="380">
        <v>2043</v>
      </c>
      <c r="P142" s="383">
        <v>302073.7</v>
      </c>
      <c r="Q142" s="385">
        <v>81.03</v>
      </c>
      <c r="R142" s="383">
        <v>2464.79</v>
      </c>
      <c r="S142" s="383">
        <v>29577.52</v>
      </c>
      <c r="T142" s="384">
        <v>696327.25</v>
      </c>
      <c r="U142" s="371"/>
    </row>
    <row r="147" spans="1:29" ht="16" thickBot="1"/>
    <row r="148" spans="1:29" ht="16" thickBot="1">
      <c r="A148" s="433" t="s">
        <v>115</v>
      </c>
      <c r="B148" s="433"/>
      <c r="C148" s="433"/>
      <c r="D148" s="64">
        <v>2018</v>
      </c>
      <c r="E148" s="64">
        <v>2019</v>
      </c>
      <c r="F148" s="64">
        <v>2020</v>
      </c>
      <c r="G148" s="64">
        <v>2021</v>
      </c>
      <c r="H148" s="64">
        <v>2022</v>
      </c>
      <c r="I148" s="64">
        <v>2023</v>
      </c>
      <c r="J148" s="64">
        <v>2024</v>
      </c>
      <c r="K148" s="64">
        <v>2025</v>
      </c>
      <c r="L148" s="64">
        <v>2026</v>
      </c>
      <c r="M148" s="64">
        <v>2027</v>
      </c>
      <c r="N148" s="64">
        <v>2028</v>
      </c>
      <c r="O148" s="64">
        <v>2029</v>
      </c>
      <c r="P148" s="64">
        <v>2030</v>
      </c>
      <c r="Q148" s="64">
        <v>2031</v>
      </c>
      <c r="R148" s="64">
        <v>2032</v>
      </c>
      <c r="S148" s="64">
        <v>2033</v>
      </c>
      <c r="T148" s="64">
        <v>2034</v>
      </c>
      <c r="U148" s="64">
        <v>2035</v>
      </c>
      <c r="V148" s="64">
        <v>2036</v>
      </c>
      <c r="W148" s="64">
        <v>2037</v>
      </c>
      <c r="X148" s="64">
        <v>2038</v>
      </c>
      <c r="Y148" s="64">
        <v>2039</v>
      </c>
      <c r="Z148" s="64">
        <v>2040</v>
      </c>
      <c r="AA148" s="64">
        <v>2041</v>
      </c>
      <c r="AB148" s="64">
        <v>2042</v>
      </c>
      <c r="AC148" s="64">
        <v>2043</v>
      </c>
    </row>
    <row r="149" spans="1:29" ht="16" thickBot="1">
      <c r="A149" s="434" t="s">
        <v>47</v>
      </c>
      <c r="B149" s="434"/>
      <c r="C149" s="434"/>
      <c r="D149" s="65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6" thickBot="1">
      <c r="A150" s="435" t="s">
        <v>122</v>
      </c>
      <c r="B150" s="438" t="s">
        <v>117</v>
      </c>
      <c r="C150" s="43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1:29" ht="16" thickBot="1">
      <c r="A151" s="436"/>
      <c r="B151" s="433" t="s">
        <v>118</v>
      </c>
      <c r="C151" s="439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1:29" ht="16" thickBot="1">
      <c r="A152" s="436"/>
      <c r="B152" s="84" t="s">
        <v>119</v>
      </c>
      <c r="C152" s="63" t="s">
        <v>120</v>
      </c>
      <c r="D152">
        <v>156421.22449999998</v>
      </c>
      <c r="E152">
        <v>158807.85985500002</v>
      </c>
      <c r="F152">
        <v>160014.80060999998</v>
      </c>
      <c r="G152">
        <v>161230.9154575</v>
      </c>
      <c r="H152">
        <v>162456.26955</v>
      </c>
      <c r="I152">
        <v>163690.93424500001</v>
      </c>
      <c r="J152">
        <v>164934.98710499998</v>
      </c>
      <c r="K152">
        <v>166188.49328249996</v>
      </c>
      <c r="L152">
        <v>167451.52723749998</v>
      </c>
      <c r="M152">
        <v>168724.15722499997</v>
      </c>
      <c r="N152">
        <v>170006.46391000002</v>
      </c>
      <c r="O152">
        <v>171298.51244499997</v>
      </c>
      <c r="P152">
        <v>172600.3803925</v>
      </c>
      <c r="Q152">
        <v>173912.14221250004</v>
      </c>
      <c r="R152">
        <v>175233.87236500002</v>
      </c>
      <c r="S152">
        <v>176565.65151500001</v>
      </c>
      <c r="T152">
        <v>177907.55101999998</v>
      </c>
      <c r="U152">
        <v>179259.64844250001</v>
      </c>
      <c r="V152">
        <v>180622.02134499999</v>
      </c>
      <c r="W152">
        <v>181994.74729</v>
      </c>
      <c r="X152">
        <v>183377.910045</v>
      </c>
      <c r="Y152">
        <v>184771.58406999995</v>
      </c>
      <c r="Z152">
        <v>186175.84692750001</v>
      </c>
      <c r="AA152">
        <v>187590.78238499997</v>
      </c>
      <c r="AB152">
        <v>189016.47420999999</v>
      </c>
      <c r="AC152">
        <v>190452.99686249997</v>
      </c>
    </row>
    <row r="153" spans="1:29" ht="16" thickBot="1">
      <c r="A153" s="437"/>
      <c r="B153" s="434" t="s">
        <v>121</v>
      </c>
      <c r="C153" s="440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6" spans="1:29" ht="16" thickBot="1"/>
    <row r="157" spans="1:29" ht="16" thickBot="1">
      <c r="A157" s="433" t="s">
        <v>115</v>
      </c>
      <c r="B157" s="433"/>
      <c r="C157" s="433"/>
      <c r="D157" s="64">
        <v>2018</v>
      </c>
      <c r="E157" s="64">
        <v>2019</v>
      </c>
      <c r="F157" s="64">
        <v>2020</v>
      </c>
      <c r="G157" s="64">
        <v>2021</v>
      </c>
      <c r="H157" s="64">
        <v>2022</v>
      </c>
      <c r="I157" s="64">
        <v>2023</v>
      </c>
      <c r="J157" s="64">
        <v>2024</v>
      </c>
      <c r="K157" s="64">
        <v>2025</v>
      </c>
      <c r="L157" s="64">
        <v>2026</v>
      </c>
      <c r="M157" s="64">
        <v>2027</v>
      </c>
      <c r="N157" s="64">
        <v>2028</v>
      </c>
      <c r="O157" s="64">
        <v>2029</v>
      </c>
      <c r="P157" s="64">
        <v>2030</v>
      </c>
      <c r="Q157" s="64">
        <v>2031</v>
      </c>
      <c r="R157" s="64">
        <v>2032</v>
      </c>
      <c r="S157" s="64">
        <v>2033</v>
      </c>
      <c r="T157" s="64">
        <v>2034</v>
      </c>
      <c r="U157" s="64">
        <v>2035</v>
      </c>
      <c r="V157" s="64">
        <v>2036</v>
      </c>
      <c r="W157" s="64">
        <v>2037</v>
      </c>
      <c r="X157" s="64">
        <v>2038</v>
      </c>
      <c r="Y157" s="64">
        <v>2039</v>
      </c>
      <c r="Z157" s="64">
        <v>2040</v>
      </c>
      <c r="AA157" s="64">
        <v>2041</v>
      </c>
      <c r="AB157" s="64">
        <v>2042</v>
      </c>
      <c r="AC157" s="64">
        <v>2043</v>
      </c>
    </row>
    <row r="158" spans="1:29" ht="15.75" customHeight="1" thickBot="1">
      <c r="A158" s="434" t="s">
        <v>47</v>
      </c>
      <c r="B158" s="434"/>
      <c r="C158" s="434"/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5.75" customHeight="1" thickBot="1">
      <c r="A159" s="435" t="s">
        <v>116</v>
      </c>
      <c r="B159" s="438" t="s">
        <v>117</v>
      </c>
      <c r="C159" s="439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6" thickBot="1">
      <c r="A160" s="436"/>
      <c r="B160" s="433" t="s">
        <v>118</v>
      </c>
      <c r="C160" s="439"/>
      <c r="D160" s="65"/>
      <c r="E160" s="65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6" thickBot="1">
      <c r="A161" s="436"/>
      <c r="B161" s="84" t="s">
        <v>119</v>
      </c>
      <c r="C161" s="63" t="s">
        <v>120</v>
      </c>
      <c r="D161">
        <v>38291.919999999998</v>
      </c>
      <c r="E161">
        <v>38876.160000000003</v>
      </c>
      <c r="F161">
        <v>39171.619999999995</v>
      </c>
      <c r="G161">
        <v>39469.33</v>
      </c>
      <c r="H161">
        <v>39769.289999999994</v>
      </c>
      <c r="I161">
        <v>40071.54</v>
      </c>
      <c r="J161">
        <v>40376.089999999997</v>
      </c>
      <c r="K161">
        <v>40682.94</v>
      </c>
      <c r="L161">
        <v>40992.14</v>
      </c>
      <c r="M161">
        <v>41303.68</v>
      </c>
      <c r="N161">
        <v>41617.589999999997</v>
      </c>
      <c r="O161">
        <v>41933.869999999995</v>
      </c>
      <c r="P161">
        <v>42252.570000000007</v>
      </c>
      <c r="Q161">
        <v>42573.69</v>
      </c>
      <c r="R161">
        <v>42897.259999999995</v>
      </c>
      <c r="S161">
        <v>43223.270000000004</v>
      </c>
      <c r="T161">
        <v>43551.759999999995</v>
      </c>
      <c r="U161">
        <v>43882.759999999995</v>
      </c>
      <c r="V161">
        <v>44216.270000000004</v>
      </c>
      <c r="W161">
        <v>44552.31</v>
      </c>
      <c r="X161">
        <v>44890.92</v>
      </c>
      <c r="Y161">
        <v>45232.08</v>
      </c>
      <c r="Z161">
        <v>45575.85</v>
      </c>
      <c r="AA161">
        <v>45922.22</v>
      </c>
      <c r="AB161">
        <v>46271.23</v>
      </c>
      <c r="AC161">
        <v>46622.89</v>
      </c>
    </row>
    <row r="162" spans="1:29" ht="16" thickBot="1">
      <c r="A162" s="437"/>
      <c r="B162" s="434" t="s">
        <v>121</v>
      </c>
      <c r="C162" s="440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4" spans="1:29" ht="16" thickBot="1"/>
    <row r="165" spans="1:29" ht="16" thickBot="1">
      <c r="A165" s="433" t="s">
        <v>115</v>
      </c>
      <c r="B165" s="433"/>
      <c r="C165" s="433"/>
      <c r="D165" s="64">
        <v>2018</v>
      </c>
      <c r="E165" s="64">
        <v>2019</v>
      </c>
      <c r="F165" s="64">
        <v>2020</v>
      </c>
      <c r="G165" s="64">
        <v>2021</v>
      </c>
      <c r="H165" s="64">
        <v>2022</v>
      </c>
      <c r="I165" s="64">
        <v>2023</v>
      </c>
      <c r="J165" s="64">
        <v>2024</v>
      </c>
      <c r="K165" s="64">
        <v>2025</v>
      </c>
      <c r="L165" s="64">
        <v>2026</v>
      </c>
      <c r="M165" s="64">
        <v>2027</v>
      </c>
      <c r="N165" s="64">
        <v>2028</v>
      </c>
      <c r="O165" s="64">
        <v>2029</v>
      </c>
      <c r="P165" s="64">
        <v>2030</v>
      </c>
      <c r="Q165" s="64">
        <v>2031</v>
      </c>
      <c r="R165" s="64">
        <v>2032</v>
      </c>
      <c r="S165" s="64">
        <v>2033</v>
      </c>
      <c r="T165" s="64">
        <v>2034</v>
      </c>
      <c r="U165" s="64">
        <v>2035</v>
      </c>
      <c r="V165" s="64">
        <v>2036</v>
      </c>
      <c r="W165" s="64">
        <v>2037</v>
      </c>
      <c r="X165" s="64">
        <v>2038</v>
      </c>
      <c r="Y165" s="64">
        <v>2039</v>
      </c>
      <c r="Z165" s="64">
        <v>2040</v>
      </c>
      <c r="AA165" s="64">
        <v>2041</v>
      </c>
      <c r="AB165" s="64">
        <v>2042</v>
      </c>
      <c r="AC165" s="64">
        <v>2043</v>
      </c>
    </row>
    <row r="166" spans="1:29" ht="15.75" customHeight="1" thickBot="1">
      <c r="A166" s="434" t="s">
        <v>47</v>
      </c>
      <c r="B166" s="434"/>
      <c r="C166" s="434"/>
      <c r="D166" s="65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5.75" customHeight="1" thickBot="1">
      <c r="A167" s="435" t="s">
        <v>123</v>
      </c>
      <c r="B167" s="438" t="s">
        <v>117</v>
      </c>
      <c r="C167" s="439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6" thickBot="1">
      <c r="A168" s="436"/>
      <c r="B168" s="433" t="s">
        <v>118</v>
      </c>
      <c r="C168" s="439"/>
      <c r="D168" s="65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6" thickBot="1">
      <c r="A169" s="436"/>
      <c r="B169" s="84" t="s">
        <v>119</v>
      </c>
      <c r="C169" s="63" t="s">
        <v>120</v>
      </c>
      <c r="D169">
        <v>49366.53</v>
      </c>
      <c r="E169">
        <v>50169.520000000004</v>
      </c>
      <c r="F169">
        <v>50575.89</v>
      </c>
      <c r="G169">
        <v>50985.55</v>
      </c>
      <c r="H169">
        <v>51398.539999999994</v>
      </c>
      <c r="I169">
        <v>51814.869999999995</v>
      </c>
      <c r="J169">
        <v>52234.570000000007</v>
      </c>
      <c r="K169">
        <v>52657.66</v>
      </c>
      <c r="L169">
        <v>53084.2</v>
      </c>
      <c r="M169">
        <v>53514.17</v>
      </c>
      <c r="N169">
        <v>53947.64</v>
      </c>
      <c r="O169">
        <v>54384.619999999995</v>
      </c>
      <c r="P169">
        <v>54825.13</v>
      </c>
      <c r="Q169">
        <v>55269.21</v>
      </c>
      <c r="R169">
        <v>55716.899999999994</v>
      </c>
      <c r="S169">
        <v>56168.2</v>
      </c>
      <c r="T169">
        <v>56623.16</v>
      </c>
      <c r="U169">
        <v>57081.81</v>
      </c>
      <c r="V169">
        <v>57544.17</v>
      </c>
      <c r="W169">
        <v>58010.28</v>
      </c>
      <c r="X169">
        <v>58480.160000000003</v>
      </c>
      <c r="Y169">
        <v>58953.85</v>
      </c>
      <c r="Z169">
        <v>59431.380000000005</v>
      </c>
      <c r="AA169">
        <v>59912.770000000004</v>
      </c>
      <c r="AB169">
        <v>60398.06</v>
      </c>
      <c r="AC169">
        <v>60887.3</v>
      </c>
    </row>
    <row r="170" spans="1:29" ht="16" thickBot="1">
      <c r="A170" s="437"/>
      <c r="B170" s="434" t="s">
        <v>121</v>
      </c>
      <c r="C170" s="440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2" spans="1:29" ht="16" thickBot="1"/>
    <row r="173" spans="1:29" ht="16" thickBot="1">
      <c r="A173" s="433" t="s">
        <v>115</v>
      </c>
      <c r="B173" s="433"/>
      <c r="C173" s="433"/>
      <c r="D173">
        <f>D165</f>
        <v>2018</v>
      </c>
      <c r="E173">
        <f t="shared" ref="E173:AC173" si="42">E165</f>
        <v>2019</v>
      </c>
      <c r="F173">
        <f t="shared" si="42"/>
        <v>2020</v>
      </c>
      <c r="G173">
        <f t="shared" si="42"/>
        <v>2021</v>
      </c>
      <c r="H173">
        <f t="shared" si="42"/>
        <v>2022</v>
      </c>
      <c r="I173">
        <f t="shared" si="42"/>
        <v>2023</v>
      </c>
      <c r="J173">
        <f t="shared" si="42"/>
        <v>2024</v>
      </c>
      <c r="K173">
        <f t="shared" si="42"/>
        <v>2025</v>
      </c>
      <c r="L173">
        <f t="shared" si="42"/>
        <v>2026</v>
      </c>
      <c r="M173">
        <f t="shared" si="42"/>
        <v>2027</v>
      </c>
      <c r="N173">
        <f t="shared" si="42"/>
        <v>2028</v>
      </c>
      <c r="O173">
        <f t="shared" si="42"/>
        <v>2029</v>
      </c>
      <c r="P173">
        <f t="shared" si="42"/>
        <v>2030</v>
      </c>
      <c r="Q173">
        <f t="shared" si="42"/>
        <v>2031</v>
      </c>
      <c r="R173">
        <f t="shared" si="42"/>
        <v>2032</v>
      </c>
      <c r="S173">
        <f t="shared" si="42"/>
        <v>2033</v>
      </c>
      <c r="T173">
        <f t="shared" si="42"/>
        <v>2034</v>
      </c>
      <c r="U173">
        <f t="shared" si="42"/>
        <v>2035</v>
      </c>
      <c r="V173">
        <f t="shared" si="42"/>
        <v>2036</v>
      </c>
      <c r="W173">
        <f t="shared" si="42"/>
        <v>2037</v>
      </c>
      <c r="X173">
        <f t="shared" si="42"/>
        <v>2038</v>
      </c>
      <c r="Y173">
        <f t="shared" si="42"/>
        <v>2039</v>
      </c>
      <c r="Z173">
        <f t="shared" si="42"/>
        <v>2040</v>
      </c>
      <c r="AA173">
        <f t="shared" si="42"/>
        <v>2041</v>
      </c>
      <c r="AB173">
        <f t="shared" si="42"/>
        <v>2042</v>
      </c>
      <c r="AC173">
        <f t="shared" si="42"/>
        <v>2043</v>
      </c>
    </row>
    <row r="174" spans="1:29" ht="16" thickBot="1">
      <c r="A174" s="434" t="s">
        <v>47</v>
      </c>
      <c r="B174" s="434"/>
      <c r="C174" s="434"/>
      <c r="D174">
        <f>D166</f>
        <v>0</v>
      </c>
      <c r="E174">
        <f t="shared" ref="E174:AC174" si="43">E166</f>
        <v>0</v>
      </c>
      <c r="F174">
        <f t="shared" si="43"/>
        <v>0</v>
      </c>
      <c r="G174">
        <f t="shared" si="43"/>
        <v>0</v>
      </c>
      <c r="H174">
        <f t="shared" si="43"/>
        <v>0</v>
      </c>
      <c r="I174">
        <f t="shared" si="43"/>
        <v>0</v>
      </c>
      <c r="J174">
        <f t="shared" si="43"/>
        <v>0</v>
      </c>
      <c r="K174">
        <f t="shared" si="43"/>
        <v>0</v>
      </c>
      <c r="L174">
        <f t="shared" si="43"/>
        <v>0</v>
      </c>
      <c r="M174">
        <f t="shared" si="43"/>
        <v>0</v>
      </c>
      <c r="N174">
        <f t="shared" si="43"/>
        <v>0</v>
      </c>
      <c r="O174">
        <f t="shared" si="43"/>
        <v>0</v>
      </c>
      <c r="P174">
        <f t="shared" si="43"/>
        <v>0</v>
      </c>
      <c r="Q174">
        <f t="shared" si="43"/>
        <v>0</v>
      </c>
      <c r="R174">
        <f t="shared" si="43"/>
        <v>0</v>
      </c>
      <c r="S174">
        <f t="shared" si="43"/>
        <v>0</v>
      </c>
      <c r="T174">
        <f t="shared" si="43"/>
        <v>0</v>
      </c>
      <c r="U174">
        <f t="shared" si="43"/>
        <v>0</v>
      </c>
      <c r="V174">
        <f t="shared" si="43"/>
        <v>0</v>
      </c>
      <c r="W174">
        <f t="shared" si="43"/>
        <v>0</v>
      </c>
      <c r="X174">
        <f t="shared" si="43"/>
        <v>0</v>
      </c>
      <c r="Y174">
        <f t="shared" si="43"/>
        <v>0</v>
      </c>
      <c r="Z174">
        <f t="shared" si="43"/>
        <v>0</v>
      </c>
      <c r="AA174">
        <f t="shared" si="43"/>
        <v>0</v>
      </c>
      <c r="AB174">
        <f t="shared" si="43"/>
        <v>0</v>
      </c>
      <c r="AC174">
        <f t="shared" si="43"/>
        <v>0</v>
      </c>
    </row>
    <row r="175" spans="1:29" ht="16" thickBot="1">
      <c r="A175" s="435" t="s">
        <v>673</v>
      </c>
      <c r="B175" s="438" t="s">
        <v>117</v>
      </c>
      <c r="C175" s="439"/>
    </row>
    <row r="176" spans="1:29" ht="16" thickBot="1">
      <c r="A176" s="436"/>
      <c r="B176" s="433" t="s">
        <v>118</v>
      </c>
      <c r="C176" s="439"/>
    </row>
    <row r="177" spans="1:29" ht="16" thickBot="1">
      <c r="A177" s="436"/>
      <c r="B177" s="84" t="s">
        <v>119</v>
      </c>
      <c r="C177" s="63" t="s">
        <v>120</v>
      </c>
      <c r="D177">
        <f>D174*0.5</f>
        <v>0</v>
      </c>
      <c r="E177">
        <f t="shared" ref="E177:AC177" si="44">E174*0.5</f>
        <v>0</v>
      </c>
      <c r="F177">
        <f t="shared" si="44"/>
        <v>0</v>
      </c>
      <c r="G177">
        <f t="shared" si="44"/>
        <v>0</v>
      </c>
      <c r="H177">
        <f t="shared" si="44"/>
        <v>0</v>
      </c>
      <c r="I177">
        <f t="shared" si="44"/>
        <v>0</v>
      </c>
      <c r="J177">
        <f t="shared" si="44"/>
        <v>0</v>
      </c>
      <c r="K177">
        <f t="shared" si="44"/>
        <v>0</v>
      </c>
      <c r="L177">
        <f t="shared" si="44"/>
        <v>0</v>
      </c>
      <c r="M177">
        <f t="shared" si="44"/>
        <v>0</v>
      </c>
      <c r="N177">
        <f t="shared" si="44"/>
        <v>0</v>
      </c>
      <c r="O177">
        <f t="shared" si="44"/>
        <v>0</v>
      </c>
      <c r="P177">
        <f t="shared" si="44"/>
        <v>0</v>
      </c>
      <c r="Q177">
        <f t="shared" si="44"/>
        <v>0</v>
      </c>
      <c r="R177">
        <f t="shared" si="44"/>
        <v>0</v>
      </c>
      <c r="S177">
        <f t="shared" si="44"/>
        <v>0</v>
      </c>
      <c r="T177">
        <f t="shared" si="44"/>
        <v>0</v>
      </c>
      <c r="U177">
        <f t="shared" si="44"/>
        <v>0</v>
      </c>
      <c r="V177">
        <f t="shared" si="44"/>
        <v>0</v>
      </c>
      <c r="W177">
        <f t="shared" si="44"/>
        <v>0</v>
      </c>
      <c r="X177">
        <f t="shared" si="44"/>
        <v>0</v>
      </c>
      <c r="Y177">
        <f t="shared" si="44"/>
        <v>0</v>
      </c>
      <c r="Z177">
        <f t="shared" si="44"/>
        <v>0</v>
      </c>
      <c r="AA177">
        <f t="shared" si="44"/>
        <v>0</v>
      </c>
      <c r="AB177">
        <f t="shared" si="44"/>
        <v>0</v>
      </c>
      <c r="AC177">
        <f t="shared" si="44"/>
        <v>0</v>
      </c>
    </row>
    <row r="178" spans="1:29" ht="16" thickBot="1">
      <c r="A178" s="437"/>
      <c r="B178" s="434" t="s">
        <v>121</v>
      </c>
      <c r="C178" s="440"/>
    </row>
  </sheetData>
  <mergeCells count="78">
    <mergeCell ref="A165:C165"/>
    <mergeCell ref="A166:C166"/>
    <mergeCell ref="A167:A170"/>
    <mergeCell ref="B167:C167"/>
    <mergeCell ref="B168:C168"/>
    <mergeCell ref="B170:C170"/>
    <mergeCell ref="A157:C157"/>
    <mergeCell ref="A158:C158"/>
    <mergeCell ref="A159:A162"/>
    <mergeCell ref="B159:C159"/>
    <mergeCell ref="B160:C160"/>
    <mergeCell ref="B162:C162"/>
    <mergeCell ref="A148:C148"/>
    <mergeCell ref="A149:C149"/>
    <mergeCell ref="A150:A153"/>
    <mergeCell ref="B150:C150"/>
    <mergeCell ref="B151:C151"/>
    <mergeCell ref="B153:C153"/>
    <mergeCell ref="G54:G55"/>
    <mergeCell ref="A1:D1"/>
    <mergeCell ref="A41:I41"/>
    <mergeCell ref="A8:F8"/>
    <mergeCell ref="A44:B44"/>
    <mergeCell ref="A45:B45"/>
    <mergeCell ref="D42:E42"/>
    <mergeCell ref="A47:B47"/>
    <mergeCell ref="A53:A55"/>
    <mergeCell ref="B53:B55"/>
    <mergeCell ref="C53:F53"/>
    <mergeCell ref="C54:C55"/>
    <mergeCell ref="D54:D55"/>
    <mergeCell ref="F54:F55"/>
    <mergeCell ref="P12:R12"/>
    <mergeCell ref="D9:F9"/>
    <mergeCell ref="G9:J9"/>
    <mergeCell ref="A114:A116"/>
    <mergeCell ref="B114:B116"/>
    <mergeCell ref="C114:F114"/>
    <mergeCell ref="C115:C116"/>
    <mergeCell ref="D115:D116"/>
    <mergeCell ref="F115:F116"/>
    <mergeCell ref="A84:A86"/>
    <mergeCell ref="B84:B86"/>
    <mergeCell ref="C84:F84"/>
    <mergeCell ref="C85:C86"/>
    <mergeCell ref="D85:D86"/>
    <mergeCell ref="F85:F86"/>
    <mergeCell ref="A46:B46"/>
    <mergeCell ref="A173:C173"/>
    <mergeCell ref="A174:C174"/>
    <mergeCell ref="A175:A178"/>
    <mergeCell ref="B175:C175"/>
    <mergeCell ref="B176:C176"/>
    <mergeCell ref="B178:C178"/>
    <mergeCell ref="H84:H86"/>
    <mergeCell ref="I84:I86"/>
    <mergeCell ref="J84:M84"/>
    <mergeCell ref="J85:J86"/>
    <mergeCell ref="K85:K86"/>
    <mergeCell ref="M85:M86"/>
    <mergeCell ref="O84:O86"/>
    <mergeCell ref="P84:P86"/>
    <mergeCell ref="Q84:T84"/>
    <mergeCell ref="Q85:Q86"/>
    <mergeCell ref="R85:R86"/>
    <mergeCell ref="T85:T86"/>
    <mergeCell ref="H114:H116"/>
    <mergeCell ref="I114:I116"/>
    <mergeCell ref="J114:M114"/>
    <mergeCell ref="J115:J116"/>
    <mergeCell ref="K115:K116"/>
    <mergeCell ref="M115:M116"/>
    <mergeCell ref="O114:O116"/>
    <mergeCell ref="P114:P116"/>
    <mergeCell ref="Q114:T114"/>
    <mergeCell ref="Q115:Q116"/>
    <mergeCell ref="R115:R116"/>
    <mergeCell ref="T115:T1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E39"/>
  <sheetViews>
    <sheetView topLeftCell="A32" zoomScale="137" workbookViewId="0">
      <selection activeCell="E36" sqref="E36"/>
    </sheetView>
  </sheetViews>
  <sheetFormatPr baseColWidth="10" defaultColWidth="8.83203125" defaultRowHeight="15"/>
  <cols>
    <col min="1" max="1" width="18" customWidth="1"/>
    <col min="2" max="2" width="13.83203125" bestFit="1" customWidth="1"/>
    <col min="8" max="8" width="10.1640625" bestFit="1" customWidth="1"/>
  </cols>
  <sheetData>
    <row r="1" spans="1:26">
      <c r="A1" s="459" t="s">
        <v>88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26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</row>
    <row r="3" spans="1:26" ht="16">
      <c r="A3" s="464" t="s">
        <v>89</v>
      </c>
      <c r="B3" s="465"/>
      <c r="C3" s="51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6">
      <c r="A4" s="36" t="s">
        <v>37</v>
      </c>
      <c r="B4" s="37" t="s">
        <v>90</v>
      </c>
      <c r="C4" s="37" t="s">
        <v>91</v>
      </c>
      <c r="D4" s="38" t="s">
        <v>154</v>
      </c>
      <c r="E4" s="38" t="s">
        <v>92</v>
      </c>
      <c r="F4" s="461" t="s">
        <v>93</v>
      </c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3"/>
    </row>
    <row r="5" spans="1:26">
      <c r="A5" s="39">
        <v>1</v>
      </c>
      <c r="B5" s="37" t="s">
        <v>94</v>
      </c>
      <c r="C5" s="37" t="s">
        <v>675</v>
      </c>
      <c r="D5" s="40">
        <f>Gravimetria!E47</f>
        <v>13035.102041666667</v>
      </c>
      <c r="E5" s="390">
        <f>60*1.2318</f>
        <v>73.908000000000001</v>
      </c>
      <c r="F5" s="50" t="s">
        <v>96</v>
      </c>
      <c r="G5" s="42"/>
      <c r="H5" s="43">
        <v>0</v>
      </c>
      <c r="I5" s="42"/>
      <c r="J5" s="42"/>
      <c r="K5" s="42"/>
      <c r="L5" s="42"/>
      <c r="M5" s="42"/>
      <c r="N5" s="42"/>
      <c r="O5" s="42"/>
      <c r="P5" s="42"/>
      <c r="Q5" s="42"/>
      <c r="R5" s="44"/>
    </row>
    <row r="6" spans="1:26">
      <c r="A6" s="49">
        <f>Gravimetria!C44</f>
        <v>0.24479999999999999</v>
      </c>
      <c r="B6" s="37" t="s">
        <v>97</v>
      </c>
      <c r="C6" s="37" t="s">
        <v>95</v>
      </c>
      <c r="D6" s="40">
        <f>Gravimetria!E44*(1-H6)</f>
        <v>1276.3971919199998</v>
      </c>
      <c r="E6" s="48">
        <f>Gravimetria!G44</f>
        <v>710.78562132352954</v>
      </c>
      <c r="F6" s="41" t="s">
        <v>442</v>
      </c>
      <c r="G6" s="42"/>
      <c r="H6" s="43">
        <v>0.6</v>
      </c>
      <c r="I6" s="42"/>
      <c r="J6" s="42"/>
      <c r="K6" s="42"/>
      <c r="L6" s="42"/>
      <c r="M6" s="42"/>
      <c r="N6" s="42"/>
      <c r="O6" s="42"/>
      <c r="P6" s="42"/>
      <c r="Q6" s="42"/>
      <c r="R6" s="44"/>
    </row>
    <row r="7" spans="1:26">
      <c r="A7" s="49">
        <f>Gravimetria!C45</f>
        <v>0.52590000000000003</v>
      </c>
      <c r="B7" s="37" t="s">
        <v>98</v>
      </c>
      <c r="C7" s="37" t="s">
        <v>95</v>
      </c>
      <c r="D7" s="369">
        <f>Gravimetria!E45*(1-H7)</f>
        <v>6855.1601637124995</v>
      </c>
      <c r="E7" s="390">
        <f>20*1.2318</f>
        <v>24.635999999999999</v>
      </c>
      <c r="F7" s="50" t="s">
        <v>99</v>
      </c>
      <c r="G7" s="42"/>
      <c r="H7" s="391">
        <v>0</v>
      </c>
      <c r="I7" s="45" t="s">
        <v>124</v>
      </c>
      <c r="J7" s="45"/>
      <c r="K7" s="45"/>
      <c r="L7" s="45"/>
      <c r="M7" s="45"/>
      <c r="N7" s="45"/>
      <c r="O7" s="45"/>
      <c r="P7" s="45"/>
      <c r="Q7" s="45"/>
      <c r="R7" s="46"/>
    </row>
    <row r="8" spans="1:26">
      <c r="A8" s="49" t="s">
        <v>676</v>
      </c>
      <c r="B8" s="37" t="s">
        <v>674</v>
      </c>
      <c r="C8" s="37" t="s">
        <v>334</v>
      </c>
      <c r="D8" s="40">
        <v>2400</v>
      </c>
      <c r="E8" s="48">
        <f>31*1.2318</f>
        <v>38.1858</v>
      </c>
      <c r="F8" s="50" t="s">
        <v>96</v>
      </c>
      <c r="G8" s="42"/>
      <c r="H8" s="43">
        <v>0</v>
      </c>
      <c r="I8" s="45"/>
      <c r="J8" s="366" t="s">
        <v>755</v>
      </c>
      <c r="K8" s="366"/>
      <c r="L8" s="366"/>
      <c r="M8" s="366"/>
      <c r="N8" s="366"/>
      <c r="O8" s="366"/>
      <c r="P8" s="366"/>
      <c r="Q8" s="366"/>
      <c r="R8" s="366"/>
    </row>
    <row r="9" spans="1:26" ht="15" hidden="1" customHeight="1">
      <c r="A9" s="49">
        <f>Gravimetria!C46</f>
        <v>0.2293</v>
      </c>
      <c r="B9" s="37" t="s">
        <v>443</v>
      </c>
      <c r="C9" s="37" t="s">
        <v>95</v>
      </c>
      <c r="D9" s="40">
        <f>Gravimetria!E46*(1-H9)</f>
        <v>1494.4744490770834</v>
      </c>
      <c r="E9" s="48">
        <v>50</v>
      </c>
      <c r="F9" s="50" t="s">
        <v>99</v>
      </c>
      <c r="G9" s="42"/>
      <c r="H9" s="43">
        <v>0.5</v>
      </c>
      <c r="I9" s="45"/>
    </row>
    <row r="13" spans="1:26">
      <c r="A13" s="10" t="s">
        <v>127</v>
      </c>
      <c r="B13" s="10" t="s">
        <v>129</v>
      </c>
      <c r="C13" s="10" t="s">
        <v>130</v>
      </c>
      <c r="D13" s="10" t="s">
        <v>131</v>
      </c>
      <c r="E13" s="10" t="s">
        <v>132</v>
      </c>
      <c r="F13" s="10" t="s">
        <v>133</v>
      </c>
      <c r="G13" s="10" t="s">
        <v>134</v>
      </c>
      <c r="H13" s="10" t="s">
        <v>135</v>
      </c>
      <c r="I13" s="10" t="s">
        <v>136</v>
      </c>
      <c r="J13" s="10" t="s">
        <v>137</v>
      </c>
      <c r="K13" s="10" t="s">
        <v>138</v>
      </c>
      <c r="L13" s="10" t="s">
        <v>139</v>
      </c>
      <c r="M13" s="10" t="s">
        <v>140</v>
      </c>
      <c r="N13" s="10" t="s">
        <v>141</v>
      </c>
      <c r="O13" s="10" t="s">
        <v>142</v>
      </c>
      <c r="P13" s="10" t="s">
        <v>143</v>
      </c>
      <c r="Q13" s="10" t="s">
        <v>144</v>
      </c>
      <c r="R13" s="10" t="s">
        <v>145</v>
      </c>
      <c r="S13" s="10" t="s">
        <v>146</v>
      </c>
      <c r="T13" s="10" t="s">
        <v>147</v>
      </c>
      <c r="U13" s="10" t="s">
        <v>148</v>
      </c>
      <c r="V13" s="10" t="s">
        <v>149</v>
      </c>
      <c r="W13" s="10" t="s">
        <v>150</v>
      </c>
      <c r="X13" s="10" t="s">
        <v>151</v>
      </c>
      <c r="Y13" s="10" t="s">
        <v>152</v>
      </c>
      <c r="Z13" s="10" t="s">
        <v>153</v>
      </c>
    </row>
    <row r="14" spans="1:26">
      <c r="A14" s="37" t="str">
        <f>$B$5</f>
        <v>Tarifa Municipal</v>
      </c>
      <c r="B14" s="86">
        <v>1</v>
      </c>
      <c r="C14" s="86">
        <v>1</v>
      </c>
      <c r="D14" s="86">
        <v>1</v>
      </c>
      <c r="E14" s="86">
        <v>1</v>
      </c>
      <c r="F14" s="86">
        <v>1</v>
      </c>
      <c r="G14" s="86">
        <v>1</v>
      </c>
      <c r="H14" s="86">
        <v>1</v>
      </c>
      <c r="I14" s="86">
        <v>1</v>
      </c>
      <c r="J14" s="86">
        <v>1</v>
      </c>
      <c r="K14" s="86">
        <v>1</v>
      </c>
      <c r="L14" s="86">
        <v>1</v>
      </c>
      <c r="M14" s="86">
        <v>1</v>
      </c>
      <c r="N14" s="86">
        <v>1</v>
      </c>
      <c r="O14" s="86">
        <v>1</v>
      </c>
      <c r="P14" s="86">
        <v>1</v>
      </c>
      <c r="Q14" s="86">
        <v>1</v>
      </c>
      <c r="R14" s="86">
        <v>1</v>
      </c>
      <c r="S14" s="86">
        <v>1</v>
      </c>
      <c r="T14" s="86">
        <v>1</v>
      </c>
      <c r="U14" s="86">
        <v>1</v>
      </c>
      <c r="V14" s="86">
        <v>1</v>
      </c>
      <c r="W14" s="86">
        <v>1</v>
      </c>
      <c r="X14" s="86">
        <v>1</v>
      </c>
      <c r="Y14" s="86">
        <v>1</v>
      </c>
      <c r="Z14" s="86">
        <v>1</v>
      </c>
    </row>
    <row r="15" spans="1:26">
      <c r="A15" s="37" t="str">
        <f>$B$6</f>
        <v>Materiais Recicláveis</v>
      </c>
      <c r="B15" s="86">
        <v>1</v>
      </c>
      <c r="C15" s="86">
        <v>1</v>
      </c>
      <c r="D15" s="86">
        <v>1</v>
      </c>
      <c r="E15" s="86">
        <v>1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6">
        <v>1</v>
      </c>
      <c r="L15" s="86">
        <v>1</v>
      </c>
      <c r="M15" s="86">
        <v>1</v>
      </c>
      <c r="N15" s="86">
        <v>1</v>
      </c>
      <c r="O15" s="86">
        <v>1</v>
      </c>
      <c r="P15" s="86">
        <v>1</v>
      </c>
      <c r="Q15" s="86">
        <v>1</v>
      </c>
      <c r="R15" s="86">
        <v>1</v>
      </c>
      <c r="S15" s="86">
        <v>1</v>
      </c>
      <c r="T15" s="86">
        <v>1</v>
      </c>
      <c r="U15" s="86">
        <v>1</v>
      </c>
      <c r="V15" s="86">
        <v>1</v>
      </c>
      <c r="W15" s="86">
        <v>1</v>
      </c>
      <c r="X15" s="86">
        <v>1</v>
      </c>
      <c r="Y15" s="86">
        <v>1</v>
      </c>
      <c r="Z15" s="86">
        <v>1</v>
      </c>
    </row>
    <row r="16" spans="1:26">
      <c r="A16" s="37" t="str">
        <f>$B$7</f>
        <v>Adubo Orgânico</v>
      </c>
      <c r="B16" s="86">
        <v>1</v>
      </c>
      <c r="C16" s="86">
        <v>1</v>
      </c>
      <c r="D16" s="86">
        <v>1</v>
      </c>
      <c r="E16" s="86">
        <v>1</v>
      </c>
      <c r="F16" s="86">
        <v>1</v>
      </c>
      <c r="G16" s="86">
        <v>1</v>
      </c>
      <c r="H16" s="86">
        <v>1</v>
      </c>
      <c r="I16" s="86">
        <v>1</v>
      </c>
      <c r="J16" s="86">
        <v>1</v>
      </c>
      <c r="K16" s="86">
        <v>1</v>
      </c>
      <c r="L16" s="86">
        <v>1</v>
      </c>
      <c r="M16" s="86">
        <v>1</v>
      </c>
      <c r="N16" s="86">
        <v>1</v>
      </c>
      <c r="O16" s="86">
        <v>1</v>
      </c>
      <c r="P16" s="86">
        <v>1</v>
      </c>
      <c r="Q16" s="86">
        <v>1</v>
      </c>
      <c r="R16" s="86">
        <v>1</v>
      </c>
      <c r="S16" s="86">
        <v>1</v>
      </c>
      <c r="T16" s="86">
        <v>1</v>
      </c>
      <c r="U16" s="86">
        <v>1</v>
      </c>
      <c r="V16" s="86">
        <v>1</v>
      </c>
      <c r="W16" s="86">
        <v>1</v>
      </c>
      <c r="X16" s="86">
        <v>1</v>
      </c>
      <c r="Y16" s="86">
        <v>1</v>
      </c>
      <c r="Z16" s="86">
        <v>1</v>
      </c>
    </row>
    <row r="17" spans="1:317">
      <c r="A17" s="37" t="s">
        <v>674</v>
      </c>
      <c r="B17" s="86">
        <v>1</v>
      </c>
      <c r="C17" s="86">
        <v>1</v>
      </c>
      <c r="D17" s="86">
        <v>1</v>
      </c>
      <c r="E17" s="86">
        <v>1</v>
      </c>
      <c r="F17" s="86">
        <v>1</v>
      </c>
      <c r="G17" s="86">
        <v>1</v>
      </c>
      <c r="H17" s="86">
        <v>1</v>
      </c>
      <c r="I17" s="86">
        <v>1</v>
      </c>
      <c r="J17" s="86">
        <v>1</v>
      </c>
      <c r="K17" s="86">
        <v>1</v>
      </c>
      <c r="L17" s="86">
        <v>1</v>
      </c>
      <c r="M17" s="86">
        <v>1</v>
      </c>
      <c r="N17" s="86">
        <v>1</v>
      </c>
      <c r="O17" s="86">
        <v>1</v>
      </c>
      <c r="P17" s="86">
        <v>1</v>
      </c>
      <c r="Q17" s="86">
        <v>1</v>
      </c>
      <c r="R17" s="86">
        <v>1</v>
      </c>
      <c r="S17" s="86">
        <v>1</v>
      </c>
      <c r="T17" s="86">
        <v>1</v>
      </c>
      <c r="U17" s="86">
        <v>1</v>
      </c>
      <c r="V17" s="86">
        <v>1</v>
      </c>
      <c r="W17" s="86">
        <v>1</v>
      </c>
      <c r="X17" s="86">
        <v>1</v>
      </c>
      <c r="Y17" s="86">
        <v>1</v>
      </c>
      <c r="Z17" s="86">
        <v>1</v>
      </c>
    </row>
    <row r="18" spans="1:317">
      <c r="A18" s="467" t="s">
        <v>401</v>
      </c>
      <c r="B18" s="467"/>
      <c r="C18" s="467"/>
      <c r="D18" s="85">
        <v>5.79E-2</v>
      </c>
      <c r="E18" t="s">
        <v>400</v>
      </c>
    </row>
    <row r="20" spans="1:317">
      <c r="A20" t="s">
        <v>758</v>
      </c>
    </row>
    <row r="21" spans="1:317">
      <c r="A21" t="s">
        <v>157</v>
      </c>
    </row>
    <row r="23" spans="1:317">
      <c r="A23" s="36" t="s">
        <v>37</v>
      </c>
      <c r="B23" s="466" t="s">
        <v>155</v>
      </c>
      <c r="C23" s="466"/>
      <c r="D23" s="466"/>
      <c r="E23" s="466"/>
      <c r="F23" s="37">
        <v>1</v>
      </c>
      <c r="G23" s="37">
        <v>2</v>
      </c>
      <c r="H23" s="37">
        <v>3</v>
      </c>
      <c r="I23" s="37">
        <v>4</v>
      </c>
      <c r="J23" s="37">
        <v>5</v>
      </c>
      <c r="K23" s="37">
        <v>6</v>
      </c>
      <c r="L23" s="37">
        <v>7</v>
      </c>
      <c r="M23" s="37">
        <v>8</v>
      </c>
      <c r="N23" s="37">
        <v>9</v>
      </c>
      <c r="O23" s="37">
        <v>10</v>
      </c>
      <c r="P23" s="37">
        <v>11</v>
      </c>
      <c r="Q23" s="37">
        <v>12</v>
      </c>
      <c r="R23" s="37">
        <v>13</v>
      </c>
      <c r="S23" s="37">
        <v>14</v>
      </c>
      <c r="T23" s="37">
        <v>15</v>
      </c>
      <c r="U23" s="37">
        <v>16</v>
      </c>
      <c r="V23" s="37">
        <v>17</v>
      </c>
      <c r="W23" s="37">
        <v>18</v>
      </c>
      <c r="X23" s="37">
        <v>19</v>
      </c>
      <c r="Y23" s="37">
        <v>20</v>
      </c>
      <c r="Z23" s="37">
        <v>21</v>
      </c>
      <c r="AA23" s="37">
        <v>22</v>
      </c>
      <c r="AB23" s="37">
        <v>23</v>
      </c>
      <c r="AC23" s="37">
        <v>24</v>
      </c>
      <c r="AD23" s="37">
        <v>25</v>
      </c>
    </row>
    <row r="24" spans="1:317">
      <c r="A24" s="72"/>
      <c r="B24" s="36" t="s">
        <v>125</v>
      </c>
      <c r="C24" s="73"/>
      <c r="D24" s="73" t="s">
        <v>126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37" t="s">
        <v>30</v>
      </c>
    </row>
    <row r="25" spans="1:317">
      <c r="A25" s="74" t="s">
        <v>41</v>
      </c>
      <c r="B25" s="37" t="str">
        <f>$B$5</f>
        <v>Tarifa Municipal</v>
      </c>
      <c r="C25" s="37"/>
      <c r="D25" s="76">
        <f>$E$5*-($H$5-100%)</f>
        <v>73.908000000000001</v>
      </c>
      <c r="E25" s="39"/>
      <c r="F25" s="81">
        <f>Gravimetria!E152*($D25*(1+$D$18)^(F23-1))*B14</f>
        <v>11737171.306163341</v>
      </c>
      <c r="G25" s="81">
        <f>Gravimetria!F152*($D$25*(1+$D$18)^(G23-1))*C14</f>
        <v>12511120.931337597</v>
      </c>
      <c r="H25" s="81">
        <f>Gravimetria!G152*($D$25*(1+$D$18)^(H23-1))*D14</f>
        <v>13336104.941437516</v>
      </c>
      <c r="I25" s="81">
        <f>Gravimetria!H152*($D$25*(1+$D$18)^(I23-1))*E14</f>
        <v>14215488.159031613</v>
      </c>
      <c r="J25" s="81">
        <f>Gravimetria!I152*($D$25*(1+$D$18)^(J23-1))*F14</f>
        <v>15152857.743445002</v>
      </c>
      <c r="K25" s="81">
        <f>Gravimetria!J152*($D$25*(1+$D$18)^(K23-1))*G14</f>
        <v>16152037.96149273</v>
      </c>
      <c r="L25" s="81">
        <f>Gravimetria!K152*($D$25*(1+$D$18)^(L23-1))*H14</f>
        <v>17217104.019297045</v>
      </c>
      <c r="M25" s="81">
        <f>Gravimetria!L152*($D$25*(1+$D$18)^(M23-1))*I14</f>
        <v>18352400.701114658</v>
      </c>
      <c r="N25" s="81">
        <f>Gravimetria!M152*($D$25*(1+$D$18)^(N23-1))*J14</f>
        <v>19562558.549670253</v>
      </c>
      <c r="O25" s="81">
        <f>Gravimetria!N152*($D$25*(1+$D$18)^(O23-1))*K14</f>
        <v>20852514.821959611</v>
      </c>
      <c r="P25" s="81">
        <f>Gravimetria!O152*($D$25*(1+$D$18)^(P23-1))*L14</f>
        <v>22227530.406769473</v>
      </c>
      <c r="Q25" s="81">
        <f>Gravimetria!P152*($D$25*(1+$D$18)^(Q23-1))*M14</f>
        <v>23693214.548339568</v>
      </c>
      <c r="R25" s="81">
        <f>Gravimetria!Q152*($D$25*(1+$D$18)^(R23-1))*N14</f>
        <v>25255545.907857362</v>
      </c>
      <c r="S25" s="81">
        <f>Gravimetria!R152*($D$25*(1+$D$18)^(S23-1))*O14</f>
        <v>26920897.288273714</v>
      </c>
      <c r="T25" s="81">
        <f>Gravimetria!S152*($D$25*(1+$D$18)^(T23-1))*P14</f>
        <v>28696062.611842968</v>
      </c>
      <c r="U25" s="81">
        <f>Gravimetria!T152*($D$25*(1+$D$18)^(U23-1))*Q14</f>
        <v>30588282.223473229</v>
      </c>
      <c r="V25" s="81">
        <f>Gravimetria!U152*($D$25*(1+$D$18)^(V23-1))*R14</f>
        <v>32605274.783140603</v>
      </c>
      <c r="W25" s="81">
        <f>Gravimetria!V152*($D$25*(1+$D$18)^(W23-1))*S14</f>
        <v>34755267.824645862</v>
      </c>
      <c r="X25" s="81">
        <f>Gravimetria!W152*($D$25*(1+$D$18)^(X23-1))*T14</f>
        <v>37047031.286722615</v>
      </c>
      <c r="Y25" s="81">
        <f>Gravimetria!X152*($D$25*(1+$D$18)^(Y23-1))*U14</f>
        <v>39489914.587832391</v>
      </c>
      <c r="Z25" s="81">
        <f>Gravimetria!Y152*($D$25*(1+$D$18)^(Z23-1))*V14</f>
        <v>42093881.570173033</v>
      </c>
      <c r="AA25" s="81">
        <f>Gravimetria!Z152*($D$25*(1+$D$18)^(AA23-1))*W14</f>
        <v>44869553.519932963</v>
      </c>
      <c r="AB25" s="81">
        <f>Gravimetria!AA152*($D$25*(1+$D$18)^(AB23-1))*X14</f>
        <v>47828253.424175084</v>
      </c>
      <c r="AC25" s="81">
        <f>Gravimetria!AB152*($D$25*(1+$D$18)^(AC23-1))*Y14</f>
        <v>50982050.874870472</v>
      </c>
      <c r="AD25" s="81">
        <f>Gravimetria!AC152*($D$25*(1+$D$18)^(AD23-1))*Z14</f>
        <v>54343808.62079826</v>
      </c>
    </row>
    <row r="26" spans="1:317">
      <c r="A26" s="74" t="s">
        <v>44</v>
      </c>
      <c r="B26" s="37" t="str">
        <f>$B$6</f>
        <v>Materiais Recicláveis</v>
      </c>
      <c r="C26" s="37"/>
      <c r="D26" s="76">
        <f>$E$6</f>
        <v>710.78562132352954</v>
      </c>
      <c r="E26" s="39"/>
      <c r="F26" s="81">
        <f>Gravimetria!E161*(1-$H$6)*($D26*(1+$D$18)^(F$23-1))*B15</f>
        <v>11053046.216109179</v>
      </c>
      <c r="G26" s="81">
        <f>Gravimetria!F161*(1-$H$6)*($D26*(1+$D$18)^(G$23-1))*C15</f>
        <v>11781884.881840102</v>
      </c>
      <c r="H26" s="81">
        <f>Gravimetria!G161*(1-$H$6)*($D26*(1+$D$18)^(H$23-1))*D15</f>
        <v>12558784.65209431</v>
      </c>
      <c r="I26" s="81">
        <f>Gravimetria!H161*(1-$H$6)*($D26*(1+$D$18)^(I$23-1))*E15</f>
        <v>13386909.089073665</v>
      </c>
      <c r="J26" s="81">
        <f>Gravimetria!I161*(1-$H$6)*($D26*(1+$D$18)^(J$23-1))*F15</f>
        <v>14269643.619213406</v>
      </c>
      <c r="K26" s="81">
        <f>Gravimetria!J161*(1-$H$6)*($D26*(1+$D$18)^(K$23-1))*G15</f>
        <v>15210586.862095769</v>
      </c>
      <c r="L26" s="81">
        <f>Gravimetria!K161*(1-$H$6)*($D26*(1+$D$18)^(L$23-1))*H15</f>
        <v>16213570.266742963</v>
      </c>
      <c r="M26" s="81">
        <f>Gravimetria!L161*(1-$H$6)*($D26*(1+$D$18)^(M$23-1))*I15</f>
        <v>17282697.809741355</v>
      </c>
      <c r="N26" s="81">
        <f>Gravimetria!M161*(1-$H$6)*($D26*(1+$D$18)^(N$23-1))*J15</f>
        <v>18422319.476874005</v>
      </c>
      <c r="O26" s="81">
        <f>Gravimetria!N161*(1-$H$6)*($D26*(1+$D$18)^(O$23-1))*K15</f>
        <v>19637088.918862708</v>
      </c>
      <c r="P26" s="81">
        <f>Gravimetria!O161*(1-$H$6)*($D26*(1+$D$18)^(P$23-1))*L15</f>
        <v>20931952.517071672</v>
      </c>
      <c r="Q26" s="81">
        <f>Gravimetria!P161*(1-$H$6)*($D26*(1+$D$18)^(Q$23-1))*M15</f>
        <v>22312207.669964094</v>
      </c>
      <c r="R26" s="81">
        <f>Gravimetria!Q161*(1-$H$6)*($D26*(1+$D$18)^(R$23-1))*N15</f>
        <v>23783475.797654558</v>
      </c>
      <c r="S26" s="81">
        <f>Gravimetria!R161*(1-$H$6)*($D26*(1+$D$18)^(S$23-1))*O15</f>
        <v>25351765.026967257</v>
      </c>
      <c r="T26" s="81">
        <f>Gravimetria!S161*(1-$H$6)*($D26*(1+$D$18)^(T$23-1))*P15</f>
        <v>27023455.690024137</v>
      </c>
      <c r="U26" s="81">
        <f>Gravimetria!T161*(1-$H$6)*($D26*(1+$D$18)^(U$23-1))*Q15</f>
        <v>28805378.907211237</v>
      </c>
      <c r="V26" s="81">
        <f>Gravimetria!U161*(1-$H$6)*($D26*(1+$D$18)^(V$23-1))*R15</f>
        <v>30704811.379387371</v>
      </c>
      <c r="W26" s="81">
        <f>Gravimetria!V161*(1-$H$6)*($D26*(1+$D$18)^(W$23-1))*S15</f>
        <v>32729488.627915457</v>
      </c>
      <c r="X26" s="81">
        <f>Gravimetria!W161*(1-$H$6)*($D26*(1+$D$18)^(X$23-1))*T15</f>
        <v>34887669.557440549</v>
      </c>
      <c r="Y26" s="81">
        <f>Gravimetria!X161*(1-$H$6)*($D26*(1+$D$18)^(Y$23-1))*U15</f>
        <v>37188174.192323163</v>
      </c>
      <c r="Z26" s="81">
        <f>Gravimetria!Y161*(1-$H$6)*($D26*(1+$D$18)^(Z$23-1))*V15</f>
        <v>39640354.252956033</v>
      </c>
      <c r="AA26" s="81">
        <f>Gravimetria!Z161*(1-$H$6)*($D26*(1+$D$18)^(AA$23-1))*W15</f>
        <v>42254246.538732342</v>
      </c>
      <c r="AB26" s="81">
        <f>Gravimetria!AA161*(1-$H$6)*($D26*(1+$D$18)^(AB$23-1))*X15</f>
        <v>45040486.909701936</v>
      </c>
      <c r="AC26" s="81">
        <f>Gravimetria!AB161*(1-$H$6)*($D26*(1+$D$18)^(AC$23-1))*Y15</f>
        <v>48010459.588546097</v>
      </c>
      <c r="AD26" s="81">
        <f>Gravimetria!AC161*(1-$H$6)*($D26*(1+$D$18)^(AD$23-1))*Z15</f>
        <v>51176269.734582081</v>
      </c>
    </row>
    <row r="27" spans="1:317">
      <c r="A27" s="74" t="s">
        <v>128</v>
      </c>
      <c r="B27" s="37" t="str">
        <f>$B$7</f>
        <v>Adubo Orgânico</v>
      </c>
      <c r="C27" s="37"/>
      <c r="D27" s="76">
        <f>$E$7</f>
        <v>24.635999999999999</v>
      </c>
      <c r="E27" s="39"/>
      <c r="F27" s="81">
        <f>Gravimetria!E169*($D27*(1+$D$18)^(F$23-1))*B16</f>
        <v>1235976.2947200001</v>
      </c>
      <c r="G27" s="81">
        <f>Gravimetria!F169*($D27*(1+$D$18)^(G$23-1))*C16</f>
        <v>1318130.3095877161</v>
      </c>
      <c r="H27" s="81">
        <f>Gravimetria!G169*($D27*(1+$D$18)^(H$23-1))*D16</f>
        <v>1405744.9701204938</v>
      </c>
      <c r="I27" s="81">
        <f>Gravimetria!H169*($D27*(1+$D$18)^(I$23-1))*E16</f>
        <v>1499183.6239693107</v>
      </c>
      <c r="J27" s="81">
        <f>Gravimetria!I169*($D27*(1+$D$18)^(J$23-1))*F16</f>
        <v>1598832.9016233194</v>
      </c>
      <c r="K27" s="81">
        <f>Gravimetria!J169*($D27*(1+$D$18)^(K$23-1))*G16</f>
        <v>1705105.6951814622</v>
      </c>
      <c r="L27" s="81">
        <f>Gravimetria!K169*($D27*(1+$D$18)^(L$23-1))*H16</f>
        <v>1818442.0026635018</v>
      </c>
      <c r="M27" s="81">
        <f>Gravimetria!L169*($D27*(1+$D$18)^(M$23-1))*I16</f>
        <v>1939312.4791995294</v>
      </c>
      <c r="N27" s="81">
        <f>Gravimetria!M169*($D27*(1+$D$18)^(N$23-1))*J16</f>
        <v>2068216.1564372424</v>
      </c>
      <c r="O27" s="81">
        <f>Gravimetria!N169*($D27*(1+$D$18)^(O$23-1))*K16</f>
        <v>2205688.6090034726</v>
      </c>
      <c r="P27" s="81">
        <f>Gravimetria!O169*($D27*(1+$D$18)^(P$23-1))*L16</f>
        <v>2352298.6811278402</v>
      </c>
      <c r="Q27" s="81">
        <f>Gravimetria!P169*($D27*(1+$D$18)^(Q$23-1))*M16</f>
        <v>2508653.3505443204</v>
      </c>
      <c r="R27" s="81">
        <f>Gravimetria!Q169*($D27*(1+$D$18)^(R$23-1))*N16</f>
        <v>2675400.8330260632</v>
      </c>
      <c r="S27" s="81">
        <f>Gravimetria!R169*($D27*(1+$D$18)^(S$23-1))*O16</f>
        <v>2853232.505560203</v>
      </c>
      <c r="T27" s="81">
        <f>Gravimetria!S169*($D27*(1+$D$18)^(T$23-1))*P16</f>
        <v>3042883.6151777199</v>
      </c>
      <c r="U27" s="81">
        <f>Gravimetria!T169*($D27*(1+$D$18)^(U$23-1))*Q16</f>
        <v>3245140.8770730449</v>
      </c>
      <c r="V27" s="81">
        <f>Gravimetria!U169*($D27*(1+$D$18)^(V$23-1))*R16</f>
        <v>3460842.2593331486</v>
      </c>
      <c r="W27" s="81">
        <f>Gravimetria!V169*($D27*(1+$D$18)^(W$23-1))*S16</f>
        <v>3690880.7781839068</v>
      </c>
      <c r="X27" s="81">
        <f>Gravimetria!W169*($D27*(1+$D$18)^(X$23-1))*T16</f>
        <v>3936210.0465589012</v>
      </c>
      <c r="Y27" s="81">
        <f>Gravimetria!X169*($D27*(1+$D$18)^(Y$23-1))*U16</f>
        <v>4197845.7181966705</v>
      </c>
      <c r="Z27" s="81">
        <f>Gravimetria!Y169*($D27*(1+$D$18)^(Z$23-1))*V16</f>
        <v>4476872.3367217956</v>
      </c>
      <c r="AA27" s="81">
        <f>Gravimetria!Z169*($D27*(1+$D$18)^(AA$23-1))*W16</f>
        <v>4774445.8257823233</v>
      </c>
      <c r="AB27" s="81">
        <f>Gravimetria!AA169*($D27*(1+$D$18)^(AB$23-1))*X16</f>
        <v>5091798.062556698</v>
      </c>
      <c r="AC27" s="81">
        <f>Gravimetria!AB169*($D27*(1+$D$18)^(AC$23-1))*Y16</f>
        <v>5430244.4280463886</v>
      </c>
      <c r="AD27" s="81">
        <f>Gravimetria!AC169*($D27*(1+$D$18)^(AD$23-1))*Z16</f>
        <v>5791188.7852413179</v>
      </c>
    </row>
    <row r="28" spans="1:317">
      <c r="A28" s="74" t="s">
        <v>310</v>
      </c>
      <c r="B28" s="37" t="s">
        <v>674</v>
      </c>
      <c r="C28" s="37"/>
      <c r="D28" s="76">
        <f>$E$8</f>
        <v>38.1858</v>
      </c>
      <c r="E28" s="39"/>
      <c r="F28" s="81">
        <f>$D$8*12*Receitas!$D$28*(1+Receitas!$D$18)^(F23-1)*B17</f>
        <v>1099751.04</v>
      </c>
      <c r="G28" s="81">
        <f>$D$8*12*Receitas!$D$28*(1+Receitas!$D$18)^(G23-1)*C17</f>
        <v>1163426.625216</v>
      </c>
      <c r="H28" s="81">
        <f>$D$8*12*Receitas!$D$28*(1+Receitas!$D$18)^(H23-1)*D17</f>
        <v>1230789.0268160065</v>
      </c>
      <c r="I28" s="81">
        <f>$D$8*12*Receitas!$D$28*(1+Receitas!$D$18)^(I23-1)*E17</f>
        <v>1302051.7114686535</v>
      </c>
      <c r="J28" s="81">
        <f>$D$8*12*Receitas!$D$28*(1+Receitas!$D$18)^(J23-1)*F17</f>
        <v>1377440.5055626887</v>
      </c>
      <c r="K28" s="81">
        <f>$D$8*12*Receitas!$D$28*(1+Receitas!$D$18)^(K23-1)*G17</f>
        <v>1457194.3108347685</v>
      </c>
      <c r="L28" s="81">
        <f>$D$8*12*Receitas!$D$28*(1+Receitas!$D$18)^(L23-1)*H17</f>
        <v>1541565.8614321016</v>
      </c>
      <c r="M28" s="81">
        <f>$D$8*12*Receitas!$D$28*(1+Receitas!$D$18)^(M23-1)*I17</f>
        <v>1630822.5248090203</v>
      </c>
      <c r="N28" s="81">
        <f>$D$8*12*Receitas!$D$28*(1+Receitas!$D$18)^(N23-1)*J17</f>
        <v>1725247.1489954626</v>
      </c>
      <c r="O28" s="81">
        <f>$D$8*12*Receitas!$D$28*(1+Receitas!$D$18)^(O23-1)*K17</f>
        <v>1825138.9589222998</v>
      </c>
      <c r="P28" s="81">
        <f>$D$8*12*Receitas!$D$28*(1+Receitas!$D$18)^(P23-1)*L17</f>
        <v>1930814.504643901</v>
      </c>
      <c r="Q28" s="81">
        <f>$D$8*12*Receitas!$D$28*(1+Receitas!$D$18)^(Q23-1)*M17</f>
        <v>2042608.6644627834</v>
      </c>
      <c r="R28" s="81">
        <f>$D$8*12*Receitas!$D$28*(1+Receitas!$D$18)^(R23-1)*N17</f>
        <v>2160875.7061351785</v>
      </c>
      <c r="S28" s="81">
        <f>$D$8*12*Receitas!$D$28*(1+Receitas!$D$18)^(S23-1)*O17</f>
        <v>2285990.4095204058</v>
      </c>
      <c r="T28" s="81">
        <f>$D$8*12*Receitas!$D$28*(1+Receitas!$D$18)^(T23-1)*P17</f>
        <v>2418349.2542316369</v>
      </c>
      <c r="U28" s="81">
        <f>$D$8*12*Receitas!$D$28*(1+Receitas!$D$18)^(U23-1)*Q17</f>
        <v>2558371.6760516493</v>
      </c>
      <c r="V28" s="81">
        <f>$D$8*12*Receitas!$D$28*(1+Receitas!$D$18)^(V23-1)*R17</f>
        <v>2706501.3960950393</v>
      </c>
      <c r="W28" s="81">
        <f>$D$8*12*Receitas!$D$28*(1+Receitas!$D$18)^(W23-1)*S17</f>
        <v>2863207.826928942</v>
      </c>
      <c r="X28" s="81">
        <f>$D$8*12*Receitas!$D$28*(1+Receitas!$D$18)^(X23-1)*T17</f>
        <v>3028987.560108128</v>
      </c>
      <c r="Y28" s="81">
        <f>$D$8*12*Receitas!$D$28*(1+Receitas!$D$18)^(Y23-1)*U17</f>
        <v>3204365.9398383889</v>
      </c>
      <c r="Z28" s="81">
        <f>$D$8*12*Receitas!$D$28*(1+Receitas!$D$18)^(Z23-1)*V17</f>
        <v>3389898.727755032</v>
      </c>
      <c r="AA28" s="81">
        <f>$D$8*12*Receitas!$D$28*(1+Receitas!$D$18)^(AA23-1)*W17</f>
        <v>3586173.8640920487</v>
      </c>
      <c r="AB28" s="81">
        <f>$D$8*12*Receitas!$D$28*(1+Receitas!$D$18)^(AB23-1)*X17</f>
        <v>3793813.3308229786</v>
      </c>
      <c r="AC28" s="81">
        <f>$D$8*12*Receitas!$D$28*(1+Receitas!$D$18)^(AC23-1)*Y17</f>
        <v>4013475.1226776293</v>
      </c>
      <c r="AD28" s="81">
        <f>$D$8*12*Receitas!$D$28*(1+Receitas!$D$18)^(AD23-1)*Z17</f>
        <v>4245855.3322806638</v>
      </c>
    </row>
    <row r="29" spans="1:317">
      <c r="A29" s="77"/>
      <c r="B29" s="78" t="s">
        <v>5</v>
      </c>
      <c r="C29" s="37"/>
      <c r="D29" s="79"/>
      <c r="E29" s="80"/>
      <c r="F29" s="83">
        <f t="shared" ref="F29:AD29" si="0">SUM(F25:F27)</f>
        <v>24026193.816992521</v>
      </c>
      <c r="G29" s="83">
        <f t="shared" si="0"/>
        <v>25611136.122765414</v>
      </c>
      <c r="H29" s="83">
        <f t="shared" si="0"/>
        <v>27300634.563652318</v>
      </c>
      <c r="I29" s="83">
        <f t="shared" si="0"/>
        <v>29101580.872074589</v>
      </c>
      <c r="J29" s="83">
        <f t="shared" si="0"/>
        <v>31021334.264281727</v>
      </c>
      <c r="K29" s="83">
        <f t="shared" si="0"/>
        <v>33067730.518769961</v>
      </c>
      <c r="L29" s="83">
        <f t="shared" si="0"/>
        <v>35249116.288703509</v>
      </c>
      <c r="M29" s="83">
        <f t="shared" si="0"/>
        <v>37574410.990055546</v>
      </c>
      <c r="N29" s="83">
        <f t="shared" si="0"/>
        <v>40053094.182981499</v>
      </c>
      <c r="O29" s="83">
        <f t="shared" si="0"/>
        <v>42695292.349825785</v>
      </c>
      <c r="P29" s="83">
        <f t="shared" si="0"/>
        <v>45511781.604968987</v>
      </c>
      <c r="Q29" s="83">
        <f t="shared" si="0"/>
        <v>48514075.568847984</v>
      </c>
      <c r="R29" s="83">
        <f t="shared" si="0"/>
        <v>51714422.538537987</v>
      </c>
      <c r="S29" s="83">
        <f t="shared" si="0"/>
        <v>55125894.820801176</v>
      </c>
      <c r="T29" s="83">
        <f t="shared" si="0"/>
        <v>58762401.917044826</v>
      </c>
      <c r="U29" s="83">
        <f t="shared" si="0"/>
        <v>62638802.007757507</v>
      </c>
      <c r="V29" s="83">
        <f t="shared" si="0"/>
        <v>66770928.421861127</v>
      </c>
      <c r="W29" s="83">
        <f t="shared" si="0"/>
        <v>71175637.230745226</v>
      </c>
      <c r="X29" s="83">
        <f t="shared" si="0"/>
        <v>75870910.890722066</v>
      </c>
      <c r="Y29" s="83">
        <f t="shared" si="0"/>
        <v>80875934.49835223</v>
      </c>
      <c r="Z29" s="83">
        <f t="shared" si="0"/>
        <v>86211108.159850851</v>
      </c>
      <c r="AA29" s="83">
        <f t="shared" si="0"/>
        <v>91898245.884447634</v>
      </c>
      <c r="AB29" s="83">
        <f t="shared" si="0"/>
        <v>97960538.396433726</v>
      </c>
      <c r="AC29" s="83">
        <f t="shared" si="0"/>
        <v>104422754.89146297</v>
      </c>
      <c r="AD29" s="83">
        <f t="shared" si="0"/>
        <v>111311267.14062166</v>
      </c>
    </row>
    <row r="32" spans="1:317">
      <c r="F32" s="468">
        <v>1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>
        <v>2</v>
      </c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>
        <v>3</v>
      </c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>
        <v>4</v>
      </c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>
        <v>5</v>
      </c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>
        <v>6</v>
      </c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>
        <v>7</v>
      </c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>
        <v>8</v>
      </c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>
        <v>9</v>
      </c>
      <c r="CY32" s="468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  <c r="DJ32" s="468">
        <v>10</v>
      </c>
      <c r="DK32" s="468"/>
      <c r="DL32" s="468"/>
      <c r="DM32" s="468"/>
      <c r="DN32" s="468"/>
      <c r="DO32" s="468"/>
      <c r="DP32" s="468"/>
      <c r="DQ32" s="468"/>
      <c r="DR32" s="468"/>
      <c r="DS32" s="468"/>
      <c r="DT32" s="468"/>
      <c r="DU32" s="468"/>
      <c r="DV32" s="468">
        <v>11</v>
      </c>
      <c r="DW32" s="468"/>
      <c r="DX32" s="468"/>
      <c r="DY32" s="468"/>
      <c r="DZ32" s="468"/>
      <c r="EA32" s="468"/>
      <c r="EB32" s="468"/>
      <c r="EC32" s="468"/>
      <c r="ED32" s="468"/>
      <c r="EE32" s="468"/>
      <c r="EF32" s="468"/>
      <c r="EG32" s="468"/>
      <c r="EH32" s="468">
        <v>12</v>
      </c>
      <c r="EI32" s="468"/>
      <c r="EJ32" s="468"/>
      <c r="EK32" s="468"/>
      <c r="EL32" s="468"/>
      <c r="EM32" s="468"/>
      <c r="EN32" s="468"/>
      <c r="EO32" s="468"/>
      <c r="EP32" s="468"/>
      <c r="EQ32" s="468"/>
      <c r="ER32" s="468"/>
      <c r="ES32" s="468"/>
      <c r="ET32" s="468">
        <v>13</v>
      </c>
      <c r="EU32" s="468"/>
      <c r="EV32" s="468"/>
      <c r="EW32" s="468"/>
      <c r="EX32" s="468"/>
      <c r="EY32" s="468"/>
      <c r="EZ32" s="468"/>
      <c r="FA32" s="468"/>
      <c r="FB32" s="468"/>
      <c r="FC32" s="468"/>
      <c r="FD32" s="468"/>
      <c r="FE32" s="468"/>
      <c r="FF32" s="468">
        <v>14</v>
      </c>
      <c r="FG32" s="468"/>
      <c r="FH32" s="468"/>
      <c r="FI32" s="468"/>
      <c r="FJ32" s="468"/>
      <c r="FK32" s="468"/>
      <c r="FL32" s="468"/>
      <c r="FM32" s="468"/>
      <c r="FN32" s="468"/>
      <c r="FO32" s="468"/>
      <c r="FP32" s="468"/>
      <c r="FQ32" s="468"/>
      <c r="FR32" s="468">
        <v>15</v>
      </c>
      <c r="FS32" s="468"/>
      <c r="FT32" s="468"/>
      <c r="FU32" s="468"/>
      <c r="FV32" s="468"/>
      <c r="FW32" s="468"/>
      <c r="FX32" s="468"/>
      <c r="FY32" s="468"/>
      <c r="FZ32" s="468"/>
      <c r="GA32" s="468"/>
      <c r="GB32" s="468"/>
      <c r="GC32" s="468"/>
      <c r="GD32" s="468">
        <v>16</v>
      </c>
      <c r="GE32" s="468"/>
      <c r="GF32" s="468"/>
      <c r="GG32" s="468"/>
      <c r="GH32" s="468"/>
      <c r="GI32" s="468"/>
      <c r="GJ32" s="468"/>
      <c r="GK32" s="468"/>
      <c r="GL32" s="468"/>
      <c r="GM32" s="468"/>
      <c r="GN32" s="468"/>
      <c r="GO32" s="468"/>
      <c r="GP32" s="468">
        <v>17</v>
      </c>
      <c r="GQ32" s="468"/>
      <c r="GR32" s="468"/>
      <c r="GS32" s="468"/>
      <c r="GT32" s="468"/>
      <c r="GU32" s="468"/>
      <c r="GV32" s="468"/>
      <c r="GW32" s="468"/>
      <c r="GX32" s="468"/>
      <c r="GY32" s="468"/>
      <c r="GZ32" s="468"/>
      <c r="HA32" s="468"/>
      <c r="HB32" s="468">
        <v>18</v>
      </c>
      <c r="HC32" s="468"/>
      <c r="HD32" s="468"/>
      <c r="HE32" s="468"/>
      <c r="HF32" s="468"/>
      <c r="HG32" s="468"/>
      <c r="HH32" s="468"/>
      <c r="HI32" s="468"/>
      <c r="HJ32" s="468"/>
      <c r="HK32" s="468"/>
      <c r="HL32" s="468"/>
      <c r="HM32" s="468"/>
      <c r="HN32" s="468">
        <v>19</v>
      </c>
      <c r="HO32" s="468"/>
      <c r="HP32" s="468"/>
      <c r="HQ32" s="468"/>
      <c r="HR32" s="468"/>
      <c r="HS32" s="468"/>
      <c r="HT32" s="468"/>
      <c r="HU32" s="468"/>
      <c r="HV32" s="468"/>
      <c r="HW32" s="468"/>
      <c r="HX32" s="468"/>
      <c r="HY32" s="468"/>
      <c r="HZ32" s="468">
        <v>20</v>
      </c>
      <c r="IA32" s="468"/>
      <c r="IB32" s="468"/>
      <c r="IC32" s="468"/>
      <c r="ID32" s="468"/>
      <c r="IE32" s="468"/>
      <c r="IF32" s="468"/>
      <c r="IG32" s="468"/>
      <c r="IH32" s="468"/>
      <c r="II32" s="468"/>
      <c r="IJ32" s="468"/>
      <c r="IK32" s="468"/>
      <c r="IL32" s="468">
        <v>21</v>
      </c>
      <c r="IM32" s="468"/>
      <c r="IN32" s="468"/>
      <c r="IO32" s="468"/>
      <c r="IP32" s="468"/>
      <c r="IQ32" s="468"/>
      <c r="IR32" s="468"/>
      <c r="IS32" s="468"/>
      <c r="IT32" s="468"/>
      <c r="IU32" s="468"/>
      <c r="IV32" s="468"/>
      <c r="IW32" s="468"/>
      <c r="IX32" s="468">
        <v>22</v>
      </c>
      <c r="IY32" s="468"/>
      <c r="IZ32" s="468"/>
      <c r="JA32" s="468"/>
      <c r="JB32" s="468"/>
      <c r="JC32" s="468"/>
      <c r="JD32" s="468"/>
      <c r="JE32" s="468"/>
      <c r="JF32" s="468"/>
      <c r="JG32" s="468"/>
      <c r="JH32" s="468"/>
      <c r="JI32" s="468"/>
      <c r="JJ32" s="468">
        <v>23</v>
      </c>
      <c r="JK32" s="468"/>
      <c r="JL32" s="468"/>
      <c r="JM32" s="468"/>
      <c r="JN32" s="468"/>
      <c r="JO32" s="468"/>
      <c r="JP32" s="468"/>
      <c r="JQ32" s="468"/>
      <c r="JR32" s="468"/>
      <c r="JS32" s="468"/>
      <c r="JT32" s="468"/>
      <c r="JU32" s="468"/>
      <c r="JV32" s="468">
        <v>24</v>
      </c>
      <c r="JW32" s="468"/>
      <c r="JX32" s="468"/>
      <c r="JY32" s="468"/>
      <c r="JZ32" s="468"/>
      <c r="KA32" s="468"/>
      <c r="KB32" s="468"/>
      <c r="KC32" s="468"/>
      <c r="KD32" s="468"/>
      <c r="KE32" s="468"/>
      <c r="KF32" s="468"/>
      <c r="KG32" s="468"/>
      <c r="KH32" s="468">
        <v>25</v>
      </c>
      <c r="KI32" s="468"/>
      <c r="KJ32" s="468"/>
      <c r="KK32" s="468"/>
      <c r="KL32" s="468"/>
      <c r="KM32" s="468"/>
      <c r="KN32" s="468"/>
      <c r="KO32" s="468"/>
      <c r="KP32" s="468"/>
      <c r="KQ32" s="468"/>
      <c r="KR32" s="468"/>
      <c r="KS32" s="468"/>
      <c r="KT32" s="469"/>
      <c r="KU32" s="469"/>
      <c r="KV32" s="469"/>
      <c r="KW32" s="469"/>
      <c r="KX32" s="469"/>
      <c r="KY32" s="469"/>
      <c r="KZ32" s="469"/>
      <c r="LA32" s="469"/>
      <c r="LB32" s="469"/>
      <c r="LC32" s="469"/>
      <c r="LD32" s="469"/>
      <c r="LE32" s="469"/>
    </row>
    <row r="33" spans="1:305">
      <c r="A33" s="36" t="s">
        <v>37</v>
      </c>
      <c r="B33" s="466" t="s">
        <v>156</v>
      </c>
      <c r="C33" s="466"/>
      <c r="D33" s="466"/>
      <c r="E33" s="466"/>
      <c r="F33" s="87">
        <v>1</v>
      </c>
      <c r="G33" s="87">
        <v>2</v>
      </c>
      <c r="H33" s="87">
        <v>3</v>
      </c>
      <c r="I33" s="87">
        <v>4</v>
      </c>
      <c r="J33" s="87">
        <v>5</v>
      </c>
      <c r="K33" s="87">
        <v>6</v>
      </c>
      <c r="L33" s="87">
        <v>7</v>
      </c>
      <c r="M33" s="87">
        <v>8</v>
      </c>
      <c r="N33" s="87">
        <v>9</v>
      </c>
      <c r="O33" s="87">
        <v>10</v>
      </c>
      <c r="P33" s="87">
        <v>11</v>
      </c>
      <c r="Q33" s="87">
        <v>12</v>
      </c>
      <c r="R33" s="87">
        <v>13</v>
      </c>
      <c r="S33" s="87">
        <v>14</v>
      </c>
      <c r="T33" s="87">
        <v>15</v>
      </c>
      <c r="U33" s="87">
        <v>16</v>
      </c>
      <c r="V33" s="87">
        <v>17</v>
      </c>
      <c r="W33" s="87">
        <v>18</v>
      </c>
      <c r="X33" s="87">
        <v>19</v>
      </c>
      <c r="Y33" s="87">
        <v>20</v>
      </c>
      <c r="Z33" s="87">
        <v>21</v>
      </c>
      <c r="AA33" s="87">
        <v>22</v>
      </c>
      <c r="AB33" s="87">
        <v>23</v>
      </c>
      <c r="AC33" s="87">
        <v>24</v>
      </c>
      <c r="AD33" s="87">
        <v>25</v>
      </c>
      <c r="AE33" s="87">
        <v>26</v>
      </c>
      <c r="AF33" s="87">
        <v>27</v>
      </c>
      <c r="AG33" s="87">
        <v>28</v>
      </c>
      <c r="AH33" s="87">
        <v>29</v>
      </c>
      <c r="AI33" s="87">
        <v>30</v>
      </c>
      <c r="AJ33" s="87">
        <v>31</v>
      </c>
      <c r="AK33" s="87">
        <v>32</v>
      </c>
      <c r="AL33" s="87">
        <v>33</v>
      </c>
      <c r="AM33" s="87">
        <v>34</v>
      </c>
      <c r="AN33" s="87">
        <v>35</v>
      </c>
      <c r="AO33" s="87">
        <v>36</v>
      </c>
      <c r="AP33" s="87">
        <v>37</v>
      </c>
      <c r="AQ33" s="87">
        <v>38</v>
      </c>
      <c r="AR33" s="87">
        <v>39</v>
      </c>
      <c r="AS33" s="87">
        <v>40</v>
      </c>
      <c r="AT33" s="87">
        <v>41</v>
      </c>
      <c r="AU33" s="87">
        <v>42</v>
      </c>
      <c r="AV33" s="87">
        <v>43</v>
      </c>
      <c r="AW33" s="87">
        <v>44</v>
      </c>
      <c r="AX33" s="87">
        <v>45</v>
      </c>
      <c r="AY33" s="87">
        <v>46</v>
      </c>
      <c r="AZ33" s="87">
        <v>47</v>
      </c>
      <c r="BA33" s="87">
        <v>48</v>
      </c>
      <c r="BB33" s="87">
        <v>49</v>
      </c>
      <c r="BC33" s="87">
        <v>50</v>
      </c>
      <c r="BD33" s="87">
        <v>51</v>
      </c>
      <c r="BE33" s="87">
        <v>52</v>
      </c>
      <c r="BF33" s="87">
        <v>53</v>
      </c>
      <c r="BG33" s="87">
        <v>54</v>
      </c>
      <c r="BH33" s="87">
        <v>55</v>
      </c>
      <c r="BI33" s="87">
        <v>56</v>
      </c>
      <c r="BJ33" s="87">
        <v>57</v>
      </c>
      <c r="BK33" s="87">
        <v>58</v>
      </c>
      <c r="BL33" s="87">
        <v>59</v>
      </c>
      <c r="BM33" s="87">
        <v>60</v>
      </c>
      <c r="BN33" s="87">
        <v>61</v>
      </c>
      <c r="BO33" s="87">
        <v>62</v>
      </c>
      <c r="BP33" s="87">
        <v>63</v>
      </c>
      <c r="BQ33" s="87">
        <v>64</v>
      </c>
      <c r="BR33" s="87">
        <v>65</v>
      </c>
      <c r="BS33" s="87">
        <v>66</v>
      </c>
      <c r="BT33" s="87">
        <v>67</v>
      </c>
      <c r="BU33" s="87">
        <v>68</v>
      </c>
      <c r="BV33" s="87">
        <v>69</v>
      </c>
      <c r="BW33" s="87">
        <v>70</v>
      </c>
      <c r="BX33" s="87">
        <v>71</v>
      </c>
      <c r="BY33" s="87">
        <v>72</v>
      </c>
      <c r="BZ33" s="87">
        <v>73</v>
      </c>
      <c r="CA33" s="87">
        <v>74</v>
      </c>
      <c r="CB33" s="87">
        <v>75</v>
      </c>
      <c r="CC33" s="87">
        <v>76</v>
      </c>
      <c r="CD33" s="87">
        <v>77</v>
      </c>
      <c r="CE33" s="87">
        <v>78</v>
      </c>
      <c r="CF33" s="87">
        <v>79</v>
      </c>
      <c r="CG33" s="87">
        <v>80</v>
      </c>
      <c r="CH33" s="87">
        <v>81</v>
      </c>
      <c r="CI33" s="87">
        <v>82</v>
      </c>
      <c r="CJ33" s="87">
        <v>83</v>
      </c>
      <c r="CK33" s="87">
        <v>84</v>
      </c>
      <c r="CL33" s="87">
        <v>85</v>
      </c>
      <c r="CM33" s="87">
        <v>86</v>
      </c>
      <c r="CN33" s="87">
        <v>87</v>
      </c>
      <c r="CO33" s="87">
        <v>88</v>
      </c>
      <c r="CP33" s="87">
        <v>89</v>
      </c>
      <c r="CQ33" s="87">
        <v>90</v>
      </c>
      <c r="CR33" s="87">
        <v>91</v>
      </c>
      <c r="CS33" s="87">
        <v>92</v>
      </c>
      <c r="CT33" s="87">
        <v>93</v>
      </c>
      <c r="CU33" s="87">
        <v>94</v>
      </c>
      <c r="CV33" s="87">
        <v>95</v>
      </c>
      <c r="CW33" s="87">
        <v>96</v>
      </c>
      <c r="CX33" s="87">
        <v>97</v>
      </c>
      <c r="CY33" s="87">
        <v>98</v>
      </c>
      <c r="CZ33" s="87">
        <v>99</v>
      </c>
      <c r="DA33" s="87">
        <v>100</v>
      </c>
      <c r="DB33" s="87">
        <v>101</v>
      </c>
      <c r="DC33" s="87">
        <v>102</v>
      </c>
      <c r="DD33" s="87">
        <v>103</v>
      </c>
      <c r="DE33" s="87">
        <v>104</v>
      </c>
      <c r="DF33" s="87">
        <v>105</v>
      </c>
      <c r="DG33" s="87">
        <v>106</v>
      </c>
      <c r="DH33" s="87">
        <v>107</v>
      </c>
      <c r="DI33" s="87">
        <v>108</v>
      </c>
      <c r="DJ33" s="87">
        <v>109</v>
      </c>
      <c r="DK33" s="87">
        <v>110</v>
      </c>
      <c r="DL33" s="87">
        <v>111</v>
      </c>
      <c r="DM33" s="87">
        <v>112</v>
      </c>
      <c r="DN33" s="87">
        <v>113</v>
      </c>
      <c r="DO33" s="87">
        <v>114</v>
      </c>
      <c r="DP33" s="87">
        <v>115</v>
      </c>
      <c r="DQ33" s="87">
        <v>116</v>
      </c>
      <c r="DR33" s="87">
        <v>117</v>
      </c>
      <c r="DS33" s="87">
        <v>118</v>
      </c>
      <c r="DT33" s="87">
        <v>119</v>
      </c>
      <c r="DU33" s="87">
        <v>120</v>
      </c>
      <c r="DV33" s="87">
        <v>121</v>
      </c>
      <c r="DW33" s="87">
        <v>122</v>
      </c>
      <c r="DX33" s="87">
        <v>123</v>
      </c>
      <c r="DY33" s="87">
        <v>124</v>
      </c>
      <c r="DZ33" s="87">
        <v>125</v>
      </c>
      <c r="EA33" s="87">
        <v>126</v>
      </c>
      <c r="EB33" s="87">
        <v>127</v>
      </c>
      <c r="EC33" s="87">
        <v>128</v>
      </c>
      <c r="ED33" s="87">
        <v>129</v>
      </c>
      <c r="EE33" s="87">
        <v>130</v>
      </c>
      <c r="EF33" s="87">
        <v>131</v>
      </c>
      <c r="EG33" s="87">
        <v>132</v>
      </c>
      <c r="EH33" s="87">
        <v>133</v>
      </c>
      <c r="EI33" s="87">
        <v>134</v>
      </c>
      <c r="EJ33" s="87">
        <v>135</v>
      </c>
      <c r="EK33" s="87">
        <v>136</v>
      </c>
      <c r="EL33" s="87">
        <v>137</v>
      </c>
      <c r="EM33" s="87">
        <v>138</v>
      </c>
      <c r="EN33" s="87">
        <v>139</v>
      </c>
      <c r="EO33" s="87">
        <v>140</v>
      </c>
      <c r="EP33" s="87">
        <v>141</v>
      </c>
      <c r="EQ33" s="87">
        <v>142</v>
      </c>
      <c r="ER33" s="87">
        <v>143</v>
      </c>
      <c r="ES33" s="87">
        <v>144</v>
      </c>
      <c r="ET33" s="87">
        <v>145</v>
      </c>
      <c r="EU33" s="87">
        <v>146</v>
      </c>
      <c r="EV33" s="87">
        <v>147</v>
      </c>
      <c r="EW33" s="87">
        <v>148</v>
      </c>
      <c r="EX33" s="87">
        <v>149</v>
      </c>
      <c r="EY33" s="87">
        <v>150</v>
      </c>
      <c r="EZ33" s="87">
        <v>151</v>
      </c>
      <c r="FA33" s="87">
        <v>152</v>
      </c>
      <c r="FB33" s="87">
        <v>153</v>
      </c>
      <c r="FC33" s="87">
        <v>154</v>
      </c>
      <c r="FD33" s="87">
        <v>155</v>
      </c>
      <c r="FE33" s="87">
        <v>156</v>
      </c>
      <c r="FF33" s="87">
        <v>157</v>
      </c>
      <c r="FG33" s="87">
        <v>158</v>
      </c>
      <c r="FH33" s="87">
        <v>159</v>
      </c>
      <c r="FI33" s="87">
        <v>160</v>
      </c>
      <c r="FJ33" s="87">
        <v>161</v>
      </c>
      <c r="FK33" s="87">
        <v>162</v>
      </c>
      <c r="FL33" s="87">
        <v>163</v>
      </c>
      <c r="FM33" s="87">
        <v>164</v>
      </c>
      <c r="FN33" s="87">
        <v>165</v>
      </c>
      <c r="FO33" s="87">
        <v>166</v>
      </c>
      <c r="FP33" s="87">
        <v>167</v>
      </c>
      <c r="FQ33" s="87">
        <v>168</v>
      </c>
      <c r="FR33" s="87">
        <v>169</v>
      </c>
      <c r="FS33" s="87">
        <v>170</v>
      </c>
      <c r="FT33" s="87">
        <v>171</v>
      </c>
      <c r="FU33" s="87">
        <v>172</v>
      </c>
      <c r="FV33" s="87">
        <v>173</v>
      </c>
      <c r="FW33" s="87">
        <v>174</v>
      </c>
      <c r="FX33" s="87">
        <v>175</v>
      </c>
      <c r="FY33" s="87">
        <v>176</v>
      </c>
      <c r="FZ33" s="87">
        <v>177</v>
      </c>
      <c r="GA33" s="87">
        <v>178</v>
      </c>
      <c r="GB33" s="87">
        <v>179</v>
      </c>
      <c r="GC33" s="87">
        <v>180</v>
      </c>
      <c r="GD33" s="87">
        <v>181</v>
      </c>
      <c r="GE33" s="87">
        <v>182</v>
      </c>
      <c r="GF33" s="87">
        <v>183</v>
      </c>
      <c r="GG33" s="87">
        <v>184</v>
      </c>
      <c r="GH33" s="87">
        <v>185</v>
      </c>
      <c r="GI33" s="87">
        <v>186</v>
      </c>
      <c r="GJ33" s="87">
        <v>187</v>
      </c>
      <c r="GK33" s="87">
        <v>188</v>
      </c>
      <c r="GL33" s="87">
        <v>189</v>
      </c>
      <c r="GM33" s="87">
        <v>190</v>
      </c>
      <c r="GN33" s="87">
        <v>191</v>
      </c>
      <c r="GO33" s="87">
        <v>192</v>
      </c>
      <c r="GP33" s="87">
        <v>193</v>
      </c>
      <c r="GQ33" s="87">
        <v>194</v>
      </c>
      <c r="GR33" s="87">
        <v>195</v>
      </c>
      <c r="GS33" s="87">
        <v>196</v>
      </c>
      <c r="GT33" s="87">
        <v>197</v>
      </c>
      <c r="GU33" s="87">
        <v>198</v>
      </c>
      <c r="GV33" s="87">
        <v>199</v>
      </c>
      <c r="GW33" s="87">
        <v>200</v>
      </c>
      <c r="GX33" s="87">
        <v>201</v>
      </c>
      <c r="GY33" s="87">
        <v>202</v>
      </c>
      <c r="GZ33" s="87">
        <v>203</v>
      </c>
      <c r="HA33" s="87">
        <v>204</v>
      </c>
      <c r="HB33" s="87">
        <v>205</v>
      </c>
      <c r="HC33" s="87">
        <v>206</v>
      </c>
      <c r="HD33" s="87">
        <v>207</v>
      </c>
      <c r="HE33" s="87">
        <v>208</v>
      </c>
      <c r="HF33" s="87">
        <v>209</v>
      </c>
      <c r="HG33" s="87">
        <v>210</v>
      </c>
      <c r="HH33" s="87">
        <v>211</v>
      </c>
      <c r="HI33" s="87">
        <v>212</v>
      </c>
      <c r="HJ33" s="87">
        <v>213</v>
      </c>
      <c r="HK33" s="87">
        <v>214</v>
      </c>
      <c r="HL33" s="87">
        <v>215</v>
      </c>
      <c r="HM33" s="87">
        <v>216</v>
      </c>
      <c r="HN33" s="87">
        <v>217</v>
      </c>
      <c r="HO33" s="87">
        <v>218</v>
      </c>
      <c r="HP33" s="87">
        <v>219</v>
      </c>
      <c r="HQ33" s="87">
        <v>220</v>
      </c>
      <c r="HR33" s="87">
        <v>221</v>
      </c>
      <c r="HS33" s="87">
        <v>222</v>
      </c>
      <c r="HT33" s="87">
        <v>223</v>
      </c>
      <c r="HU33" s="87">
        <v>224</v>
      </c>
      <c r="HV33" s="87">
        <v>225</v>
      </c>
      <c r="HW33" s="87">
        <v>226</v>
      </c>
      <c r="HX33" s="87">
        <v>227</v>
      </c>
      <c r="HY33" s="87">
        <v>228</v>
      </c>
      <c r="HZ33" s="87">
        <v>229</v>
      </c>
      <c r="IA33" s="87">
        <v>230</v>
      </c>
      <c r="IB33" s="87">
        <v>231</v>
      </c>
      <c r="IC33" s="87">
        <v>232</v>
      </c>
      <c r="ID33" s="87">
        <v>233</v>
      </c>
      <c r="IE33" s="87">
        <v>234</v>
      </c>
      <c r="IF33" s="87">
        <v>235</v>
      </c>
      <c r="IG33" s="87">
        <v>236</v>
      </c>
      <c r="IH33" s="87">
        <v>237</v>
      </c>
      <c r="II33" s="87">
        <v>238</v>
      </c>
      <c r="IJ33" s="87">
        <v>239</v>
      </c>
      <c r="IK33" s="87">
        <v>240</v>
      </c>
      <c r="IL33" s="87">
        <v>241</v>
      </c>
      <c r="IM33" s="87">
        <v>242</v>
      </c>
      <c r="IN33" s="87">
        <v>243</v>
      </c>
      <c r="IO33" s="87">
        <v>244</v>
      </c>
      <c r="IP33" s="87">
        <v>245</v>
      </c>
      <c r="IQ33" s="87">
        <v>246</v>
      </c>
      <c r="IR33" s="87">
        <v>247</v>
      </c>
      <c r="IS33" s="87">
        <v>248</v>
      </c>
      <c r="IT33" s="87">
        <v>249</v>
      </c>
      <c r="IU33" s="87">
        <v>250</v>
      </c>
      <c r="IV33" s="87">
        <v>251</v>
      </c>
      <c r="IW33" s="87">
        <v>252</v>
      </c>
      <c r="IX33" s="87">
        <v>253</v>
      </c>
      <c r="IY33" s="87">
        <v>254</v>
      </c>
      <c r="IZ33" s="87">
        <v>255</v>
      </c>
      <c r="JA33" s="87">
        <v>256</v>
      </c>
      <c r="JB33" s="87">
        <v>257</v>
      </c>
      <c r="JC33" s="87">
        <v>258</v>
      </c>
      <c r="JD33" s="87">
        <v>259</v>
      </c>
      <c r="JE33" s="87">
        <v>260</v>
      </c>
      <c r="JF33" s="87">
        <v>261</v>
      </c>
      <c r="JG33" s="87">
        <v>262</v>
      </c>
      <c r="JH33" s="87">
        <v>263</v>
      </c>
      <c r="JI33" s="87">
        <v>264</v>
      </c>
      <c r="JJ33" s="87">
        <v>265</v>
      </c>
      <c r="JK33" s="87">
        <v>266</v>
      </c>
      <c r="JL33" s="87">
        <v>267</v>
      </c>
      <c r="JM33" s="87">
        <v>268</v>
      </c>
      <c r="JN33" s="87">
        <v>269</v>
      </c>
      <c r="JO33" s="87">
        <v>270</v>
      </c>
      <c r="JP33" s="87">
        <v>271</v>
      </c>
      <c r="JQ33" s="87">
        <v>272</v>
      </c>
      <c r="JR33" s="87">
        <v>273</v>
      </c>
      <c r="JS33" s="87">
        <v>274</v>
      </c>
      <c r="JT33" s="87">
        <v>275</v>
      </c>
      <c r="JU33" s="87">
        <v>276</v>
      </c>
      <c r="JV33" s="87">
        <v>277</v>
      </c>
      <c r="JW33" s="87">
        <v>278</v>
      </c>
      <c r="JX33" s="87">
        <v>279</v>
      </c>
      <c r="JY33" s="87">
        <v>280</v>
      </c>
      <c r="JZ33" s="87">
        <v>281</v>
      </c>
      <c r="KA33" s="87">
        <v>282</v>
      </c>
      <c r="KB33" s="87">
        <v>283</v>
      </c>
      <c r="KC33" s="87">
        <v>284</v>
      </c>
      <c r="KD33" s="87">
        <v>285</v>
      </c>
      <c r="KE33" s="87">
        <v>286</v>
      </c>
      <c r="KF33" s="87">
        <v>287</v>
      </c>
      <c r="KG33" s="87">
        <v>288</v>
      </c>
      <c r="KH33" s="87">
        <v>289</v>
      </c>
      <c r="KI33" s="87">
        <v>290</v>
      </c>
      <c r="KJ33" s="87">
        <v>291</v>
      </c>
      <c r="KK33" s="87">
        <v>292</v>
      </c>
      <c r="KL33" s="87">
        <v>293</v>
      </c>
      <c r="KM33" s="87">
        <v>294</v>
      </c>
      <c r="KN33" s="87">
        <v>295</v>
      </c>
      <c r="KO33" s="87">
        <v>296</v>
      </c>
      <c r="KP33" s="87">
        <v>297</v>
      </c>
      <c r="KQ33" s="87">
        <v>298</v>
      </c>
      <c r="KR33" s="87">
        <v>299</v>
      </c>
      <c r="KS33" s="87">
        <v>300</v>
      </c>
    </row>
    <row r="34" spans="1:305">
      <c r="A34" s="72"/>
      <c r="B34" s="36" t="s">
        <v>125</v>
      </c>
      <c r="C34" s="73"/>
      <c r="D34" s="73" t="s">
        <v>126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</row>
    <row r="35" spans="1:305">
      <c r="A35" s="74" t="s">
        <v>41</v>
      </c>
      <c r="B35" s="37" t="str">
        <f>$B$5</f>
        <v>Tarifa Municipal</v>
      </c>
      <c r="C35" s="37"/>
      <c r="D35" s="76">
        <f>$E$5*-($H$5-100%)</f>
        <v>73.908000000000001</v>
      </c>
      <c r="E35" s="39"/>
      <c r="F35" s="81">
        <f t="shared" ref="F35:Q35" si="1">$F25/12</f>
        <v>978097.60884694511</v>
      </c>
      <c r="G35" s="81">
        <f t="shared" si="1"/>
        <v>978097.60884694511</v>
      </c>
      <c r="H35" s="81">
        <f t="shared" si="1"/>
        <v>978097.60884694511</v>
      </c>
      <c r="I35" s="81">
        <f t="shared" si="1"/>
        <v>978097.60884694511</v>
      </c>
      <c r="J35" s="81">
        <f t="shared" si="1"/>
        <v>978097.60884694511</v>
      </c>
      <c r="K35" s="81">
        <f t="shared" si="1"/>
        <v>978097.60884694511</v>
      </c>
      <c r="L35" s="81">
        <f t="shared" si="1"/>
        <v>978097.60884694511</v>
      </c>
      <c r="M35" s="81">
        <f t="shared" si="1"/>
        <v>978097.60884694511</v>
      </c>
      <c r="N35" s="81">
        <f t="shared" si="1"/>
        <v>978097.60884694511</v>
      </c>
      <c r="O35" s="81">
        <f t="shared" si="1"/>
        <v>978097.60884694511</v>
      </c>
      <c r="P35" s="81">
        <f t="shared" si="1"/>
        <v>978097.60884694511</v>
      </c>
      <c r="Q35" s="81">
        <f t="shared" si="1"/>
        <v>978097.60884694511</v>
      </c>
      <c r="R35" s="81">
        <f t="shared" ref="R35:AC35" si="2">$G25/12</f>
        <v>1042593.4109447998</v>
      </c>
      <c r="S35" s="81">
        <f t="shared" si="2"/>
        <v>1042593.4109447998</v>
      </c>
      <c r="T35" s="81">
        <f t="shared" si="2"/>
        <v>1042593.4109447998</v>
      </c>
      <c r="U35" s="81">
        <f t="shared" si="2"/>
        <v>1042593.4109447998</v>
      </c>
      <c r="V35" s="81">
        <f t="shared" si="2"/>
        <v>1042593.4109447998</v>
      </c>
      <c r="W35" s="81">
        <f t="shared" si="2"/>
        <v>1042593.4109447998</v>
      </c>
      <c r="X35" s="81">
        <f t="shared" si="2"/>
        <v>1042593.4109447998</v>
      </c>
      <c r="Y35" s="81">
        <f t="shared" si="2"/>
        <v>1042593.4109447998</v>
      </c>
      <c r="Z35" s="81">
        <f t="shared" si="2"/>
        <v>1042593.4109447998</v>
      </c>
      <c r="AA35" s="81">
        <f t="shared" si="2"/>
        <v>1042593.4109447998</v>
      </c>
      <c r="AB35" s="81">
        <f t="shared" si="2"/>
        <v>1042593.4109447998</v>
      </c>
      <c r="AC35" s="81">
        <f t="shared" si="2"/>
        <v>1042593.4109447998</v>
      </c>
      <c r="AD35" s="81">
        <f t="shared" ref="AD35:AO35" si="3">$H25/12</f>
        <v>1111342.0784531264</v>
      </c>
      <c r="AE35" s="81">
        <f t="shared" si="3"/>
        <v>1111342.0784531264</v>
      </c>
      <c r="AF35" s="81">
        <f t="shared" si="3"/>
        <v>1111342.0784531264</v>
      </c>
      <c r="AG35" s="81">
        <f t="shared" si="3"/>
        <v>1111342.0784531264</v>
      </c>
      <c r="AH35" s="81">
        <f t="shared" si="3"/>
        <v>1111342.0784531264</v>
      </c>
      <c r="AI35" s="81">
        <f t="shared" si="3"/>
        <v>1111342.0784531264</v>
      </c>
      <c r="AJ35" s="81">
        <f t="shared" si="3"/>
        <v>1111342.0784531264</v>
      </c>
      <c r="AK35" s="81">
        <f t="shared" si="3"/>
        <v>1111342.0784531264</v>
      </c>
      <c r="AL35" s="81">
        <f t="shared" si="3"/>
        <v>1111342.0784531264</v>
      </c>
      <c r="AM35" s="81">
        <f t="shared" si="3"/>
        <v>1111342.0784531264</v>
      </c>
      <c r="AN35" s="81">
        <f t="shared" si="3"/>
        <v>1111342.0784531264</v>
      </c>
      <c r="AO35" s="81">
        <f t="shared" si="3"/>
        <v>1111342.0784531264</v>
      </c>
      <c r="AP35" s="81">
        <f t="shared" ref="AP35:BA35" si="4">$I25/12</f>
        <v>1184624.0132526343</v>
      </c>
      <c r="AQ35" s="81">
        <f t="shared" si="4"/>
        <v>1184624.0132526343</v>
      </c>
      <c r="AR35" s="81">
        <f t="shared" si="4"/>
        <v>1184624.0132526343</v>
      </c>
      <c r="AS35" s="81">
        <f t="shared" si="4"/>
        <v>1184624.0132526343</v>
      </c>
      <c r="AT35" s="81">
        <f t="shared" si="4"/>
        <v>1184624.0132526343</v>
      </c>
      <c r="AU35" s="81">
        <f t="shared" si="4"/>
        <v>1184624.0132526343</v>
      </c>
      <c r="AV35" s="81">
        <f t="shared" si="4"/>
        <v>1184624.0132526343</v>
      </c>
      <c r="AW35" s="81">
        <f t="shared" si="4"/>
        <v>1184624.0132526343</v>
      </c>
      <c r="AX35" s="81">
        <f t="shared" si="4"/>
        <v>1184624.0132526343</v>
      </c>
      <c r="AY35" s="81">
        <f t="shared" si="4"/>
        <v>1184624.0132526343</v>
      </c>
      <c r="AZ35" s="81">
        <f t="shared" si="4"/>
        <v>1184624.0132526343</v>
      </c>
      <c r="BA35" s="81">
        <f t="shared" si="4"/>
        <v>1184624.0132526343</v>
      </c>
      <c r="BB35" s="81">
        <f t="shared" ref="BB35:BM35" si="5">$J25/12</f>
        <v>1262738.1452870835</v>
      </c>
      <c r="BC35" s="81">
        <f t="shared" si="5"/>
        <v>1262738.1452870835</v>
      </c>
      <c r="BD35" s="81">
        <f t="shared" si="5"/>
        <v>1262738.1452870835</v>
      </c>
      <c r="BE35" s="81">
        <f t="shared" si="5"/>
        <v>1262738.1452870835</v>
      </c>
      <c r="BF35" s="81">
        <f t="shared" si="5"/>
        <v>1262738.1452870835</v>
      </c>
      <c r="BG35" s="81">
        <f t="shared" si="5"/>
        <v>1262738.1452870835</v>
      </c>
      <c r="BH35" s="81">
        <f t="shared" si="5"/>
        <v>1262738.1452870835</v>
      </c>
      <c r="BI35" s="81">
        <f t="shared" si="5"/>
        <v>1262738.1452870835</v>
      </c>
      <c r="BJ35" s="81">
        <f t="shared" si="5"/>
        <v>1262738.1452870835</v>
      </c>
      <c r="BK35" s="81">
        <f t="shared" si="5"/>
        <v>1262738.1452870835</v>
      </c>
      <c r="BL35" s="81">
        <f t="shared" si="5"/>
        <v>1262738.1452870835</v>
      </c>
      <c r="BM35" s="81">
        <f t="shared" si="5"/>
        <v>1262738.1452870835</v>
      </c>
      <c r="BN35" s="81">
        <f t="shared" ref="BN35:BY35" si="6">$K25/12</f>
        <v>1346003.1634577275</v>
      </c>
      <c r="BO35" s="81">
        <f t="shared" si="6"/>
        <v>1346003.1634577275</v>
      </c>
      <c r="BP35" s="81">
        <f t="shared" si="6"/>
        <v>1346003.1634577275</v>
      </c>
      <c r="BQ35" s="81">
        <f t="shared" si="6"/>
        <v>1346003.1634577275</v>
      </c>
      <c r="BR35" s="81">
        <f t="shared" si="6"/>
        <v>1346003.1634577275</v>
      </c>
      <c r="BS35" s="81">
        <f t="shared" si="6"/>
        <v>1346003.1634577275</v>
      </c>
      <c r="BT35" s="81">
        <f t="shared" si="6"/>
        <v>1346003.1634577275</v>
      </c>
      <c r="BU35" s="81">
        <f t="shared" si="6"/>
        <v>1346003.1634577275</v>
      </c>
      <c r="BV35" s="81">
        <f t="shared" si="6"/>
        <v>1346003.1634577275</v>
      </c>
      <c r="BW35" s="81">
        <f t="shared" si="6"/>
        <v>1346003.1634577275</v>
      </c>
      <c r="BX35" s="81">
        <f t="shared" si="6"/>
        <v>1346003.1634577275</v>
      </c>
      <c r="BY35" s="81">
        <f t="shared" si="6"/>
        <v>1346003.1634577275</v>
      </c>
      <c r="BZ35" s="81">
        <f t="shared" ref="BZ35:CK35" si="7">$L25/12</f>
        <v>1434758.6682747537</v>
      </c>
      <c r="CA35" s="81">
        <f t="shared" si="7"/>
        <v>1434758.6682747537</v>
      </c>
      <c r="CB35" s="81">
        <f t="shared" si="7"/>
        <v>1434758.6682747537</v>
      </c>
      <c r="CC35" s="81">
        <f t="shared" si="7"/>
        <v>1434758.6682747537</v>
      </c>
      <c r="CD35" s="81">
        <f t="shared" si="7"/>
        <v>1434758.6682747537</v>
      </c>
      <c r="CE35" s="81">
        <f t="shared" si="7"/>
        <v>1434758.6682747537</v>
      </c>
      <c r="CF35" s="81">
        <f t="shared" si="7"/>
        <v>1434758.6682747537</v>
      </c>
      <c r="CG35" s="81">
        <f t="shared" si="7"/>
        <v>1434758.6682747537</v>
      </c>
      <c r="CH35" s="81">
        <f t="shared" si="7"/>
        <v>1434758.6682747537</v>
      </c>
      <c r="CI35" s="81">
        <f t="shared" si="7"/>
        <v>1434758.6682747537</v>
      </c>
      <c r="CJ35" s="81">
        <f t="shared" si="7"/>
        <v>1434758.6682747537</v>
      </c>
      <c r="CK35" s="81">
        <f t="shared" si="7"/>
        <v>1434758.6682747537</v>
      </c>
      <c r="CL35" s="81">
        <f t="shared" ref="CL35:CW35" si="8">$M25/12</f>
        <v>1529366.7250928881</v>
      </c>
      <c r="CM35" s="81">
        <f t="shared" si="8"/>
        <v>1529366.7250928881</v>
      </c>
      <c r="CN35" s="81">
        <f t="shared" si="8"/>
        <v>1529366.7250928881</v>
      </c>
      <c r="CO35" s="81">
        <f t="shared" si="8"/>
        <v>1529366.7250928881</v>
      </c>
      <c r="CP35" s="81">
        <f t="shared" si="8"/>
        <v>1529366.7250928881</v>
      </c>
      <c r="CQ35" s="81">
        <f t="shared" si="8"/>
        <v>1529366.7250928881</v>
      </c>
      <c r="CR35" s="81">
        <f t="shared" si="8"/>
        <v>1529366.7250928881</v>
      </c>
      <c r="CS35" s="81">
        <f t="shared" si="8"/>
        <v>1529366.7250928881</v>
      </c>
      <c r="CT35" s="81">
        <f t="shared" si="8"/>
        <v>1529366.7250928881</v>
      </c>
      <c r="CU35" s="81">
        <f t="shared" si="8"/>
        <v>1529366.7250928881</v>
      </c>
      <c r="CV35" s="81">
        <f t="shared" si="8"/>
        <v>1529366.7250928881</v>
      </c>
      <c r="CW35" s="81">
        <f t="shared" si="8"/>
        <v>1529366.7250928881</v>
      </c>
      <c r="CX35" s="81">
        <f t="shared" ref="CX35:DI35" si="9">$N25/12</f>
        <v>1630213.212472521</v>
      </c>
      <c r="CY35" s="81">
        <f t="shared" si="9"/>
        <v>1630213.212472521</v>
      </c>
      <c r="CZ35" s="81">
        <f t="shared" si="9"/>
        <v>1630213.212472521</v>
      </c>
      <c r="DA35" s="81">
        <f t="shared" si="9"/>
        <v>1630213.212472521</v>
      </c>
      <c r="DB35" s="81">
        <f t="shared" si="9"/>
        <v>1630213.212472521</v>
      </c>
      <c r="DC35" s="81">
        <f t="shared" si="9"/>
        <v>1630213.212472521</v>
      </c>
      <c r="DD35" s="81">
        <f t="shared" si="9"/>
        <v>1630213.212472521</v>
      </c>
      <c r="DE35" s="81">
        <f t="shared" si="9"/>
        <v>1630213.212472521</v>
      </c>
      <c r="DF35" s="81">
        <f t="shared" si="9"/>
        <v>1630213.212472521</v>
      </c>
      <c r="DG35" s="81">
        <f t="shared" si="9"/>
        <v>1630213.212472521</v>
      </c>
      <c r="DH35" s="81">
        <f t="shared" si="9"/>
        <v>1630213.212472521</v>
      </c>
      <c r="DI35" s="81">
        <f t="shared" si="9"/>
        <v>1630213.212472521</v>
      </c>
      <c r="DJ35" s="81">
        <f t="shared" ref="DJ35:DU35" si="10">$O25/12</f>
        <v>1737709.5684966343</v>
      </c>
      <c r="DK35" s="81">
        <f t="shared" si="10"/>
        <v>1737709.5684966343</v>
      </c>
      <c r="DL35" s="81">
        <f t="shared" si="10"/>
        <v>1737709.5684966343</v>
      </c>
      <c r="DM35" s="81">
        <f t="shared" si="10"/>
        <v>1737709.5684966343</v>
      </c>
      <c r="DN35" s="81">
        <f t="shared" si="10"/>
        <v>1737709.5684966343</v>
      </c>
      <c r="DO35" s="81">
        <f t="shared" si="10"/>
        <v>1737709.5684966343</v>
      </c>
      <c r="DP35" s="81">
        <f t="shared" si="10"/>
        <v>1737709.5684966343</v>
      </c>
      <c r="DQ35" s="81">
        <f t="shared" si="10"/>
        <v>1737709.5684966343</v>
      </c>
      <c r="DR35" s="81">
        <f t="shared" si="10"/>
        <v>1737709.5684966343</v>
      </c>
      <c r="DS35" s="81">
        <f t="shared" si="10"/>
        <v>1737709.5684966343</v>
      </c>
      <c r="DT35" s="81">
        <f t="shared" si="10"/>
        <v>1737709.5684966343</v>
      </c>
      <c r="DU35" s="81">
        <f t="shared" si="10"/>
        <v>1737709.5684966343</v>
      </c>
      <c r="DV35" s="81">
        <f t="shared" ref="DV35:EG35" si="11">$P25/12</f>
        <v>1852294.2005641228</v>
      </c>
      <c r="DW35" s="81">
        <f t="shared" si="11"/>
        <v>1852294.2005641228</v>
      </c>
      <c r="DX35" s="81">
        <f t="shared" si="11"/>
        <v>1852294.2005641228</v>
      </c>
      <c r="DY35" s="81">
        <f t="shared" si="11"/>
        <v>1852294.2005641228</v>
      </c>
      <c r="DZ35" s="81">
        <f t="shared" si="11"/>
        <v>1852294.2005641228</v>
      </c>
      <c r="EA35" s="81">
        <f t="shared" si="11"/>
        <v>1852294.2005641228</v>
      </c>
      <c r="EB35" s="81">
        <f t="shared" si="11"/>
        <v>1852294.2005641228</v>
      </c>
      <c r="EC35" s="81">
        <f t="shared" si="11"/>
        <v>1852294.2005641228</v>
      </c>
      <c r="ED35" s="81">
        <f t="shared" si="11"/>
        <v>1852294.2005641228</v>
      </c>
      <c r="EE35" s="81">
        <f t="shared" si="11"/>
        <v>1852294.2005641228</v>
      </c>
      <c r="EF35" s="81">
        <f t="shared" si="11"/>
        <v>1852294.2005641228</v>
      </c>
      <c r="EG35" s="81">
        <f t="shared" si="11"/>
        <v>1852294.2005641228</v>
      </c>
      <c r="EH35" s="81">
        <f t="shared" ref="EH35:ES35" si="12">$Q25/12</f>
        <v>1974434.545694964</v>
      </c>
      <c r="EI35" s="81">
        <f t="shared" si="12"/>
        <v>1974434.545694964</v>
      </c>
      <c r="EJ35" s="81">
        <f t="shared" si="12"/>
        <v>1974434.545694964</v>
      </c>
      <c r="EK35" s="81">
        <f t="shared" si="12"/>
        <v>1974434.545694964</v>
      </c>
      <c r="EL35" s="81">
        <f t="shared" si="12"/>
        <v>1974434.545694964</v>
      </c>
      <c r="EM35" s="81">
        <f t="shared" si="12"/>
        <v>1974434.545694964</v>
      </c>
      <c r="EN35" s="81">
        <f t="shared" si="12"/>
        <v>1974434.545694964</v>
      </c>
      <c r="EO35" s="81">
        <f t="shared" si="12"/>
        <v>1974434.545694964</v>
      </c>
      <c r="EP35" s="81">
        <f t="shared" si="12"/>
        <v>1974434.545694964</v>
      </c>
      <c r="EQ35" s="81">
        <f t="shared" si="12"/>
        <v>1974434.545694964</v>
      </c>
      <c r="ER35" s="81">
        <f t="shared" si="12"/>
        <v>1974434.545694964</v>
      </c>
      <c r="ES35" s="81">
        <f t="shared" si="12"/>
        <v>1974434.545694964</v>
      </c>
      <c r="ET35" s="81">
        <f t="shared" ref="ET35:FE35" si="13">$R25/12</f>
        <v>2104628.82565478</v>
      </c>
      <c r="EU35" s="81">
        <f t="shared" si="13"/>
        <v>2104628.82565478</v>
      </c>
      <c r="EV35" s="81">
        <f t="shared" si="13"/>
        <v>2104628.82565478</v>
      </c>
      <c r="EW35" s="81">
        <f t="shared" si="13"/>
        <v>2104628.82565478</v>
      </c>
      <c r="EX35" s="81">
        <f t="shared" si="13"/>
        <v>2104628.82565478</v>
      </c>
      <c r="EY35" s="81">
        <f t="shared" si="13"/>
        <v>2104628.82565478</v>
      </c>
      <c r="EZ35" s="81">
        <f t="shared" si="13"/>
        <v>2104628.82565478</v>
      </c>
      <c r="FA35" s="81">
        <f t="shared" si="13"/>
        <v>2104628.82565478</v>
      </c>
      <c r="FB35" s="81">
        <f t="shared" si="13"/>
        <v>2104628.82565478</v>
      </c>
      <c r="FC35" s="81">
        <f t="shared" si="13"/>
        <v>2104628.82565478</v>
      </c>
      <c r="FD35" s="81">
        <f t="shared" si="13"/>
        <v>2104628.82565478</v>
      </c>
      <c r="FE35" s="81">
        <f t="shared" si="13"/>
        <v>2104628.82565478</v>
      </c>
      <c r="FF35" s="81">
        <f t="shared" ref="FF35:FQ35" si="14">$S25/12</f>
        <v>2243408.1073561427</v>
      </c>
      <c r="FG35" s="81">
        <f t="shared" si="14"/>
        <v>2243408.1073561427</v>
      </c>
      <c r="FH35" s="81">
        <f t="shared" si="14"/>
        <v>2243408.1073561427</v>
      </c>
      <c r="FI35" s="81">
        <f t="shared" si="14"/>
        <v>2243408.1073561427</v>
      </c>
      <c r="FJ35" s="81">
        <f t="shared" si="14"/>
        <v>2243408.1073561427</v>
      </c>
      <c r="FK35" s="81">
        <f t="shared" si="14"/>
        <v>2243408.1073561427</v>
      </c>
      <c r="FL35" s="81">
        <f t="shared" si="14"/>
        <v>2243408.1073561427</v>
      </c>
      <c r="FM35" s="81">
        <f t="shared" si="14"/>
        <v>2243408.1073561427</v>
      </c>
      <c r="FN35" s="81">
        <f t="shared" si="14"/>
        <v>2243408.1073561427</v>
      </c>
      <c r="FO35" s="81">
        <f t="shared" si="14"/>
        <v>2243408.1073561427</v>
      </c>
      <c r="FP35" s="81">
        <f t="shared" si="14"/>
        <v>2243408.1073561427</v>
      </c>
      <c r="FQ35" s="81">
        <f t="shared" si="14"/>
        <v>2243408.1073561427</v>
      </c>
      <c r="FR35" s="81">
        <f t="shared" ref="FR35:GC35" si="15">$T25/12</f>
        <v>2391338.550986914</v>
      </c>
      <c r="FS35" s="81">
        <f t="shared" si="15"/>
        <v>2391338.550986914</v>
      </c>
      <c r="FT35" s="81">
        <f t="shared" si="15"/>
        <v>2391338.550986914</v>
      </c>
      <c r="FU35" s="81">
        <f t="shared" si="15"/>
        <v>2391338.550986914</v>
      </c>
      <c r="FV35" s="81">
        <f t="shared" si="15"/>
        <v>2391338.550986914</v>
      </c>
      <c r="FW35" s="81">
        <f t="shared" si="15"/>
        <v>2391338.550986914</v>
      </c>
      <c r="FX35" s="81">
        <f t="shared" si="15"/>
        <v>2391338.550986914</v>
      </c>
      <c r="FY35" s="81">
        <f t="shared" si="15"/>
        <v>2391338.550986914</v>
      </c>
      <c r="FZ35" s="81">
        <f t="shared" si="15"/>
        <v>2391338.550986914</v>
      </c>
      <c r="GA35" s="81">
        <f t="shared" si="15"/>
        <v>2391338.550986914</v>
      </c>
      <c r="GB35" s="81">
        <f t="shared" si="15"/>
        <v>2391338.550986914</v>
      </c>
      <c r="GC35" s="81">
        <f t="shared" si="15"/>
        <v>2391338.550986914</v>
      </c>
      <c r="GD35" s="81">
        <f t="shared" ref="GD35:GO35" si="16">$U25/12</f>
        <v>2549023.518622769</v>
      </c>
      <c r="GE35" s="81">
        <f t="shared" si="16"/>
        <v>2549023.518622769</v>
      </c>
      <c r="GF35" s="81">
        <f t="shared" si="16"/>
        <v>2549023.518622769</v>
      </c>
      <c r="GG35" s="81">
        <f t="shared" si="16"/>
        <v>2549023.518622769</v>
      </c>
      <c r="GH35" s="81">
        <f t="shared" si="16"/>
        <v>2549023.518622769</v>
      </c>
      <c r="GI35" s="81">
        <f t="shared" si="16"/>
        <v>2549023.518622769</v>
      </c>
      <c r="GJ35" s="81">
        <f t="shared" si="16"/>
        <v>2549023.518622769</v>
      </c>
      <c r="GK35" s="81">
        <f t="shared" si="16"/>
        <v>2549023.518622769</v>
      </c>
      <c r="GL35" s="81">
        <f t="shared" si="16"/>
        <v>2549023.518622769</v>
      </c>
      <c r="GM35" s="81">
        <f t="shared" si="16"/>
        <v>2549023.518622769</v>
      </c>
      <c r="GN35" s="81">
        <f t="shared" si="16"/>
        <v>2549023.518622769</v>
      </c>
      <c r="GO35" s="81">
        <f t="shared" si="16"/>
        <v>2549023.518622769</v>
      </c>
      <c r="GP35" s="81">
        <f t="shared" ref="GP35:HA35" si="17">$V25/12</f>
        <v>2717106.2319283835</v>
      </c>
      <c r="GQ35" s="81">
        <f t="shared" si="17"/>
        <v>2717106.2319283835</v>
      </c>
      <c r="GR35" s="81">
        <f t="shared" si="17"/>
        <v>2717106.2319283835</v>
      </c>
      <c r="GS35" s="81">
        <f t="shared" si="17"/>
        <v>2717106.2319283835</v>
      </c>
      <c r="GT35" s="81">
        <f t="shared" si="17"/>
        <v>2717106.2319283835</v>
      </c>
      <c r="GU35" s="81">
        <f t="shared" si="17"/>
        <v>2717106.2319283835</v>
      </c>
      <c r="GV35" s="81">
        <f t="shared" si="17"/>
        <v>2717106.2319283835</v>
      </c>
      <c r="GW35" s="81">
        <f t="shared" si="17"/>
        <v>2717106.2319283835</v>
      </c>
      <c r="GX35" s="81">
        <f t="shared" si="17"/>
        <v>2717106.2319283835</v>
      </c>
      <c r="GY35" s="81">
        <f t="shared" si="17"/>
        <v>2717106.2319283835</v>
      </c>
      <c r="GZ35" s="81">
        <f t="shared" si="17"/>
        <v>2717106.2319283835</v>
      </c>
      <c r="HA35" s="81">
        <f t="shared" si="17"/>
        <v>2717106.2319283835</v>
      </c>
      <c r="HB35" s="81">
        <f t="shared" ref="HB35:HM35" si="18">$W25/12</f>
        <v>2896272.3187204883</v>
      </c>
      <c r="HC35" s="81">
        <f t="shared" si="18"/>
        <v>2896272.3187204883</v>
      </c>
      <c r="HD35" s="81">
        <f t="shared" si="18"/>
        <v>2896272.3187204883</v>
      </c>
      <c r="HE35" s="81">
        <f t="shared" si="18"/>
        <v>2896272.3187204883</v>
      </c>
      <c r="HF35" s="81">
        <f t="shared" si="18"/>
        <v>2896272.3187204883</v>
      </c>
      <c r="HG35" s="81">
        <f t="shared" si="18"/>
        <v>2896272.3187204883</v>
      </c>
      <c r="HH35" s="81">
        <f t="shared" si="18"/>
        <v>2896272.3187204883</v>
      </c>
      <c r="HI35" s="81">
        <f t="shared" si="18"/>
        <v>2896272.3187204883</v>
      </c>
      <c r="HJ35" s="81">
        <f t="shared" si="18"/>
        <v>2896272.3187204883</v>
      </c>
      <c r="HK35" s="81">
        <f t="shared" si="18"/>
        <v>2896272.3187204883</v>
      </c>
      <c r="HL35" s="81">
        <f t="shared" si="18"/>
        <v>2896272.3187204883</v>
      </c>
      <c r="HM35" s="81">
        <f t="shared" si="18"/>
        <v>2896272.3187204883</v>
      </c>
      <c r="HN35" s="81">
        <f t="shared" ref="HN35:HY35" si="19">$X25/12</f>
        <v>3087252.6072268845</v>
      </c>
      <c r="HO35" s="81">
        <f t="shared" si="19"/>
        <v>3087252.6072268845</v>
      </c>
      <c r="HP35" s="81">
        <f t="shared" si="19"/>
        <v>3087252.6072268845</v>
      </c>
      <c r="HQ35" s="81">
        <f t="shared" si="19"/>
        <v>3087252.6072268845</v>
      </c>
      <c r="HR35" s="81">
        <f t="shared" si="19"/>
        <v>3087252.6072268845</v>
      </c>
      <c r="HS35" s="81">
        <f t="shared" si="19"/>
        <v>3087252.6072268845</v>
      </c>
      <c r="HT35" s="81">
        <f t="shared" si="19"/>
        <v>3087252.6072268845</v>
      </c>
      <c r="HU35" s="81">
        <f t="shared" si="19"/>
        <v>3087252.6072268845</v>
      </c>
      <c r="HV35" s="81">
        <f t="shared" si="19"/>
        <v>3087252.6072268845</v>
      </c>
      <c r="HW35" s="81">
        <f t="shared" si="19"/>
        <v>3087252.6072268845</v>
      </c>
      <c r="HX35" s="81">
        <f t="shared" si="19"/>
        <v>3087252.6072268845</v>
      </c>
      <c r="HY35" s="81">
        <f t="shared" si="19"/>
        <v>3087252.6072268845</v>
      </c>
      <c r="HZ35" s="81">
        <f t="shared" ref="HZ35:IK35" si="20">$Y25/12</f>
        <v>3290826.2156526991</v>
      </c>
      <c r="IA35" s="81">
        <f t="shared" si="20"/>
        <v>3290826.2156526991</v>
      </c>
      <c r="IB35" s="81">
        <f t="shared" si="20"/>
        <v>3290826.2156526991</v>
      </c>
      <c r="IC35" s="81">
        <f t="shared" si="20"/>
        <v>3290826.2156526991</v>
      </c>
      <c r="ID35" s="81">
        <f t="shared" si="20"/>
        <v>3290826.2156526991</v>
      </c>
      <c r="IE35" s="81">
        <f t="shared" si="20"/>
        <v>3290826.2156526991</v>
      </c>
      <c r="IF35" s="81">
        <f t="shared" si="20"/>
        <v>3290826.2156526991</v>
      </c>
      <c r="IG35" s="81">
        <f t="shared" si="20"/>
        <v>3290826.2156526991</v>
      </c>
      <c r="IH35" s="81">
        <f t="shared" si="20"/>
        <v>3290826.2156526991</v>
      </c>
      <c r="II35" s="81">
        <f t="shared" si="20"/>
        <v>3290826.2156526991</v>
      </c>
      <c r="IJ35" s="81">
        <f t="shared" si="20"/>
        <v>3290826.2156526991</v>
      </c>
      <c r="IK35" s="81">
        <f t="shared" si="20"/>
        <v>3290826.2156526991</v>
      </c>
      <c r="IL35" s="81">
        <f t="shared" ref="IL35:IW35" si="21">$Z25/12</f>
        <v>3507823.464181086</v>
      </c>
      <c r="IM35" s="81">
        <f t="shared" si="21"/>
        <v>3507823.464181086</v>
      </c>
      <c r="IN35" s="81">
        <f t="shared" si="21"/>
        <v>3507823.464181086</v>
      </c>
      <c r="IO35" s="81">
        <f t="shared" si="21"/>
        <v>3507823.464181086</v>
      </c>
      <c r="IP35" s="81">
        <f t="shared" si="21"/>
        <v>3507823.464181086</v>
      </c>
      <c r="IQ35" s="81">
        <f t="shared" si="21"/>
        <v>3507823.464181086</v>
      </c>
      <c r="IR35" s="81">
        <f t="shared" si="21"/>
        <v>3507823.464181086</v>
      </c>
      <c r="IS35" s="81">
        <f t="shared" si="21"/>
        <v>3507823.464181086</v>
      </c>
      <c r="IT35" s="81">
        <f t="shared" si="21"/>
        <v>3507823.464181086</v>
      </c>
      <c r="IU35" s="81">
        <f t="shared" si="21"/>
        <v>3507823.464181086</v>
      </c>
      <c r="IV35" s="81">
        <f t="shared" si="21"/>
        <v>3507823.464181086</v>
      </c>
      <c r="IW35" s="81">
        <f t="shared" si="21"/>
        <v>3507823.464181086</v>
      </c>
      <c r="IX35" s="81">
        <f t="shared" ref="IX35:JI35" si="22">$AA25/12</f>
        <v>3739129.4599944134</v>
      </c>
      <c r="IY35" s="81">
        <f t="shared" si="22"/>
        <v>3739129.4599944134</v>
      </c>
      <c r="IZ35" s="81">
        <f t="shared" si="22"/>
        <v>3739129.4599944134</v>
      </c>
      <c r="JA35" s="81">
        <f t="shared" si="22"/>
        <v>3739129.4599944134</v>
      </c>
      <c r="JB35" s="81">
        <f t="shared" si="22"/>
        <v>3739129.4599944134</v>
      </c>
      <c r="JC35" s="81">
        <f t="shared" si="22"/>
        <v>3739129.4599944134</v>
      </c>
      <c r="JD35" s="81">
        <f t="shared" si="22"/>
        <v>3739129.4599944134</v>
      </c>
      <c r="JE35" s="81">
        <f t="shared" si="22"/>
        <v>3739129.4599944134</v>
      </c>
      <c r="JF35" s="81">
        <f t="shared" si="22"/>
        <v>3739129.4599944134</v>
      </c>
      <c r="JG35" s="81">
        <f t="shared" si="22"/>
        <v>3739129.4599944134</v>
      </c>
      <c r="JH35" s="81">
        <f t="shared" si="22"/>
        <v>3739129.4599944134</v>
      </c>
      <c r="JI35" s="81">
        <f t="shared" si="22"/>
        <v>3739129.4599944134</v>
      </c>
      <c r="JJ35" s="81">
        <f t="shared" ref="JJ35:JU35" si="23">$AB25/12</f>
        <v>3985687.7853479236</v>
      </c>
      <c r="JK35" s="81">
        <f t="shared" si="23"/>
        <v>3985687.7853479236</v>
      </c>
      <c r="JL35" s="81">
        <f t="shared" si="23"/>
        <v>3985687.7853479236</v>
      </c>
      <c r="JM35" s="81">
        <f t="shared" si="23"/>
        <v>3985687.7853479236</v>
      </c>
      <c r="JN35" s="81">
        <f t="shared" si="23"/>
        <v>3985687.7853479236</v>
      </c>
      <c r="JO35" s="81">
        <f t="shared" si="23"/>
        <v>3985687.7853479236</v>
      </c>
      <c r="JP35" s="81">
        <f t="shared" si="23"/>
        <v>3985687.7853479236</v>
      </c>
      <c r="JQ35" s="81">
        <f t="shared" si="23"/>
        <v>3985687.7853479236</v>
      </c>
      <c r="JR35" s="81">
        <f t="shared" si="23"/>
        <v>3985687.7853479236</v>
      </c>
      <c r="JS35" s="81">
        <f t="shared" si="23"/>
        <v>3985687.7853479236</v>
      </c>
      <c r="JT35" s="81">
        <f t="shared" si="23"/>
        <v>3985687.7853479236</v>
      </c>
      <c r="JU35" s="81">
        <f t="shared" si="23"/>
        <v>3985687.7853479236</v>
      </c>
      <c r="JV35" s="81">
        <f t="shared" ref="JV35:KG35" si="24">$AC25/12</f>
        <v>4248504.239572539</v>
      </c>
      <c r="JW35" s="81">
        <f t="shared" si="24"/>
        <v>4248504.239572539</v>
      </c>
      <c r="JX35" s="81">
        <f t="shared" si="24"/>
        <v>4248504.239572539</v>
      </c>
      <c r="JY35" s="81">
        <f t="shared" si="24"/>
        <v>4248504.239572539</v>
      </c>
      <c r="JZ35" s="81">
        <f t="shared" si="24"/>
        <v>4248504.239572539</v>
      </c>
      <c r="KA35" s="81">
        <f t="shared" si="24"/>
        <v>4248504.239572539</v>
      </c>
      <c r="KB35" s="81">
        <f t="shared" si="24"/>
        <v>4248504.239572539</v>
      </c>
      <c r="KC35" s="81">
        <f t="shared" si="24"/>
        <v>4248504.239572539</v>
      </c>
      <c r="KD35" s="81">
        <f t="shared" si="24"/>
        <v>4248504.239572539</v>
      </c>
      <c r="KE35" s="81">
        <f t="shared" si="24"/>
        <v>4248504.239572539</v>
      </c>
      <c r="KF35" s="81">
        <f t="shared" si="24"/>
        <v>4248504.239572539</v>
      </c>
      <c r="KG35" s="81">
        <f t="shared" si="24"/>
        <v>4248504.239572539</v>
      </c>
      <c r="KH35" s="81">
        <f t="shared" ref="KH35:KS35" si="25">$AD25/12</f>
        <v>4528650.7183998553</v>
      </c>
      <c r="KI35" s="81">
        <f t="shared" si="25"/>
        <v>4528650.7183998553</v>
      </c>
      <c r="KJ35" s="81">
        <f t="shared" si="25"/>
        <v>4528650.7183998553</v>
      </c>
      <c r="KK35" s="81">
        <f t="shared" si="25"/>
        <v>4528650.7183998553</v>
      </c>
      <c r="KL35" s="81">
        <f t="shared" si="25"/>
        <v>4528650.7183998553</v>
      </c>
      <c r="KM35" s="81">
        <f t="shared" si="25"/>
        <v>4528650.7183998553</v>
      </c>
      <c r="KN35" s="81">
        <f t="shared" si="25"/>
        <v>4528650.7183998553</v>
      </c>
      <c r="KO35" s="81">
        <f t="shared" si="25"/>
        <v>4528650.7183998553</v>
      </c>
      <c r="KP35" s="81">
        <f t="shared" si="25"/>
        <v>4528650.7183998553</v>
      </c>
      <c r="KQ35" s="81">
        <f t="shared" si="25"/>
        <v>4528650.7183998553</v>
      </c>
      <c r="KR35" s="81">
        <f t="shared" si="25"/>
        <v>4528650.7183998553</v>
      </c>
      <c r="KS35" s="81">
        <f t="shared" si="25"/>
        <v>4528650.7183998553</v>
      </c>
    </row>
    <row r="36" spans="1:305">
      <c r="A36" s="74" t="s">
        <v>44</v>
      </c>
      <c r="B36" s="37" t="str">
        <f>$B$6</f>
        <v>Materiais Recicláveis</v>
      </c>
      <c r="C36" s="37"/>
      <c r="D36" s="76">
        <f>$E$6</f>
        <v>710.78562132352954</v>
      </c>
      <c r="E36" s="39"/>
      <c r="F36" s="81">
        <f t="shared" ref="F36:Q36" si="26">$F26/12</f>
        <v>921087.18467576487</v>
      </c>
      <c r="G36" s="81">
        <f t="shared" si="26"/>
        <v>921087.18467576487</v>
      </c>
      <c r="H36" s="81">
        <f t="shared" si="26"/>
        <v>921087.18467576487</v>
      </c>
      <c r="I36" s="81">
        <f t="shared" si="26"/>
        <v>921087.18467576487</v>
      </c>
      <c r="J36" s="81">
        <f t="shared" si="26"/>
        <v>921087.18467576487</v>
      </c>
      <c r="K36" s="81">
        <f t="shared" si="26"/>
        <v>921087.18467576487</v>
      </c>
      <c r="L36" s="81">
        <f t="shared" si="26"/>
        <v>921087.18467576487</v>
      </c>
      <c r="M36" s="81">
        <f t="shared" si="26"/>
        <v>921087.18467576487</v>
      </c>
      <c r="N36" s="81">
        <f t="shared" si="26"/>
        <v>921087.18467576487</v>
      </c>
      <c r="O36" s="81">
        <f t="shared" si="26"/>
        <v>921087.18467576487</v>
      </c>
      <c r="P36" s="81">
        <f t="shared" si="26"/>
        <v>921087.18467576487</v>
      </c>
      <c r="Q36" s="81">
        <f t="shared" si="26"/>
        <v>921087.18467576487</v>
      </c>
      <c r="R36" s="81">
        <f t="shared" ref="R36:AC36" si="27">$G26/12</f>
        <v>981823.7401533419</v>
      </c>
      <c r="S36" s="81">
        <f t="shared" si="27"/>
        <v>981823.7401533419</v>
      </c>
      <c r="T36" s="81">
        <f t="shared" si="27"/>
        <v>981823.7401533419</v>
      </c>
      <c r="U36" s="81">
        <f t="shared" si="27"/>
        <v>981823.7401533419</v>
      </c>
      <c r="V36" s="81">
        <f t="shared" si="27"/>
        <v>981823.7401533419</v>
      </c>
      <c r="W36" s="81">
        <f t="shared" si="27"/>
        <v>981823.7401533419</v>
      </c>
      <c r="X36" s="81">
        <f t="shared" si="27"/>
        <v>981823.7401533419</v>
      </c>
      <c r="Y36" s="81">
        <f t="shared" si="27"/>
        <v>981823.7401533419</v>
      </c>
      <c r="Z36" s="81">
        <f t="shared" si="27"/>
        <v>981823.7401533419</v>
      </c>
      <c r="AA36" s="81">
        <f t="shared" si="27"/>
        <v>981823.7401533419</v>
      </c>
      <c r="AB36" s="81">
        <f t="shared" si="27"/>
        <v>981823.7401533419</v>
      </c>
      <c r="AC36" s="81">
        <f t="shared" si="27"/>
        <v>981823.7401533419</v>
      </c>
      <c r="AD36" s="81">
        <f t="shared" ref="AD36:AO36" si="28">$H26/12</f>
        <v>1046565.3876745258</v>
      </c>
      <c r="AE36" s="81">
        <f t="shared" si="28"/>
        <v>1046565.3876745258</v>
      </c>
      <c r="AF36" s="81">
        <f t="shared" si="28"/>
        <v>1046565.3876745258</v>
      </c>
      <c r="AG36" s="81">
        <f t="shared" si="28"/>
        <v>1046565.3876745258</v>
      </c>
      <c r="AH36" s="81">
        <f t="shared" si="28"/>
        <v>1046565.3876745258</v>
      </c>
      <c r="AI36" s="81">
        <f t="shared" si="28"/>
        <v>1046565.3876745258</v>
      </c>
      <c r="AJ36" s="81">
        <f t="shared" si="28"/>
        <v>1046565.3876745258</v>
      </c>
      <c r="AK36" s="81">
        <f t="shared" si="28"/>
        <v>1046565.3876745258</v>
      </c>
      <c r="AL36" s="81">
        <f t="shared" si="28"/>
        <v>1046565.3876745258</v>
      </c>
      <c r="AM36" s="81">
        <f t="shared" si="28"/>
        <v>1046565.3876745258</v>
      </c>
      <c r="AN36" s="81">
        <f t="shared" si="28"/>
        <v>1046565.3876745258</v>
      </c>
      <c r="AO36" s="81">
        <f t="shared" si="28"/>
        <v>1046565.3876745258</v>
      </c>
      <c r="AP36" s="81">
        <f t="shared" ref="AP36:BA36" si="29">$I26/12</f>
        <v>1115575.7574228055</v>
      </c>
      <c r="AQ36" s="81">
        <f t="shared" si="29"/>
        <v>1115575.7574228055</v>
      </c>
      <c r="AR36" s="81">
        <f t="shared" si="29"/>
        <v>1115575.7574228055</v>
      </c>
      <c r="AS36" s="81">
        <f t="shared" si="29"/>
        <v>1115575.7574228055</v>
      </c>
      <c r="AT36" s="81">
        <f t="shared" si="29"/>
        <v>1115575.7574228055</v>
      </c>
      <c r="AU36" s="81">
        <f t="shared" si="29"/>
        <v>1115575.7574228055</v>
      </c>
      <c r="AV36" s="81">
        <f t="shared" si="29"/>
        <v>1115575.7574228055</v>
      </c>
      <c r="AW36" s="81">
        <f t="shared" si="29"/>
        <v>1115575.7574228055</v>
      </c>
      <c r="AX36" s="81">
        <f t="shared" si="29"/>
        <v>1115575.7574228055</v>
      </c>
      <c r="AY36" s="81">
        <f t="shared" si="29"/>
        <v>1115575.7574228055</v>
      </c>
      <c r="AZ36" s="81">
        <f t="shared" si="29"/>
        <v>1115575.7574228055</v>
      </c>
      <c r="BA36" s="81">
        <f t="shared" si="29"/>
        <v>1115575.7574228055</v>
      </c>
      <c r="BB36" s="81">
        <f t="shared" ref="BB36:BM36" si="30">$J26/12</f>
        <v>1189136.9682677838</v>
      </c>
      <c r="BC36" s="81">
        <f t="shared" si="30"/>
        <v>1189136.9682677838</v>
      </c>
      <c r="BD36" s="81">
        <f t="shared" si="30"/>
        <v>1189136.9682677838</v>
      </c>
      <c r="BE36" s="81">
        <f t="shared" si="30"/>
        <v>1189136.9682677838</v>
      </c>
      <c r="BF36" s="81">
        <f t="shared" si="30"/>
        <v>1189136.9682677838</v>
      </c>
      <c r="BG36" s="81">
        <f t="shared" si="30"/>
        <v>1189136.9682677838</v>
      </c>
      <c r="BH36" s="81">
        <f t="shared" si="30"/>
        <v>1189136.9682677838</v>
      </c>
      <c r="BI36" s="81">
        <f t="shared" si="30"/>
        <v>1189136.9682677838</v>
      </c>
      <c r="BJ36" s="81">
        <f t="shared" si="30"/>
        <v>1189136.9682677838</v>
      </c>
      <c r="BK36" s="81">
        <f t="shared" si="30"/>
        <v>1189136.9682677838</v>
      </c>
      <c r="BL36" s="81">
        <f t="shared" si="30"/>
        <v>1189136.9682677838</v>
      </c>
      <c r="BM36" s="81">
        <f t="shared" si="30"/>
        <v>1189136.9682677838</v>
      </c>
      <c r="BN36" s="81">
        <f t="shared" ref="BN36:BY36" si="31">$K26/12</f>
        <v>1267548.9051746475</v>
      </c>
      <c r="BO36" s="81">
        <f t="shared" si="31"/>
        <v>1267548.9051746475</v>
      </c>
      <c r="BP36" s="81">
        <f t="shared" si="31"/>
        <v>1267548.9051746475</v>
      </c>
      <c r="BQ36" s="81">
        <f t="shared" si="31"/>
        <v>1267548.9051746475</v>
      </c>
      <c r="BR36" s="81">
        <f t="shared" si="31"/>
        <v>1267548.9051746475</v>
      </c>
      <c r="BS36" s="81">
        <f t="shared" si="31"/>
        <v>1267548.9051746475</v>
      </c>
      <c r="BT36" s="81">
        <f t="shared" si="31"/>
        <v>1267548.9051746475</v>
      </c>
      <c r="BU36" s="81">
        <f t="shared" si="31"/>
        <v>1267548.9051746475</v>
      </c>
      <c r="BV36" s="81">
        <f t="shared" si="31"/>
        <v>1267548.9051746475</v>
      </c>
      <c r="BW36" s="81">
        <f t="shared" si="31"/>
        <v>1267548.9051746475</v>
      </c>
      <c r="BX36" s="81">
        <f t="shared" si="31"/>
        <v>1267548.9051746475</v>
      </c>
      <c r="BY36" s="81">
        <f t="shared" si="31"/>
        <v>1267548.9051746475</v>
      </c>
      <c r="BZ36" s="81">
        <f t="shared" ref="BZ36:CK36" si="32">$L26/12</f>
        <v>1351130.8555619137</v>
      </c>
      <c r="CA36" s="81">
        <f t="shared" si="32"/>
        <v>1351130.8555619137</v>
      </c>
      <c r="CB36" s="81">
        <f t="shared" si="32"/>
        <v>1351130.8555619137</v>
      </c>
      <c r="CC36" s="81">
        <f t="shared" si="32"/>
        <v>1351130.8555619137</v>
      </c>
      <c r="CD36" s="81">
        <f t="shared" si="32"/>
        <v>1351130.8555619137</v>
      </c>
      <c r="CE36" s="81">
        <f t="shared" si="32"/>
        <v>1351130.8555619137</v>
      </c>
      <c r="CF36" s="81">
        <f t="shared" si="32"/>
        <v>1351130.8555619137</v>
      </c>
      <c r="CG36" s="81">
        <f t="shared" si="32"/>
        <v>1351130.8555619137</v>
      </c>
      <c r="CH36" s="81">
        <f t="shared" si="32"/>
        <v>1351130.8555619137</v>
      </c>
      <c r="CI36" s="81">
        <f t="shared" si="32"/>
        <v>1351130.8555619137</v>
      </c>
      <c r="CJ36" s="81">
        <f t="shared" si="32"/>
        <v>1351130.8555619137</v>
      </c>
      <c r="CK36" s="81">
        <f t="shared" si="32"/>
        <v>1351130.8555619137</v>
      </c>
      <c r="CL36" s="81">
        <f t="shared" ref="CL36:CW36" si="33">$M26/12</f>
        <v>1440224.8174784463</v>
      </c>
      <c r="CM36" s="81">
        <f t="shared" si="33"/>
        <v>1440224.8174784463</v>
      </c>
      <c r="CN36" s="81">
        <f t="shared" si="33"/>
        <v>1440224.8174784463</v>
      </c>
      <c r="CO36" s="81">
        <f t="shared" si="33"/>
        <v>1440224.8174784463</v>
      </c>
      <c r="CP36" s="81">
        <f t="shared" si="33"/>
        <v>1440224.8174784463</v>
      </c>
      <c r="CQ36" s="81">
        <f t="shared" si="33"/>
        <v>1440224.8174784463</v>
      </c>
      <c r="CR36" s="81">
        <f t="shared" si="33"/>
        <v>1440224.8174784463</v>
      </c>
      <c r="CS36" s="81">
        <f t="shared" si="33"/>
        <v>1440224.8174784463</v>
      </c>
      <c r="CT36" s="81">
        <f t="shared" si="33"/>
        <v>1440224.8174784463</v>
      </c>
      <c r="CU36" s="81">
        <f t="shared" si="33"/>
        <v>1440224.8174784463</v>
      </c>
      <c r="CV36" s="81">
        <f t="shared" si="33"/>
        <v>1440224.8174784463</v>
      </c>
      <c r="CW36" s="81">
        <f t="shared" si="33"/>
        <v>1440224.8174784463</v>
      </c>
      <c r="CX36" s="81">
        <f t="shared" ref="CX36:DI36" si="34">$N26/12</f>
        <v>1535193.2897395005</v>
      </c>
      <c r="CY36" s="81">
        <f t="shared" si="34"/>
        <v>1535193.2897395005</v>
      </c>
      <c r="CZ36" s="81">
        <f t="shared" si="34"/>
        <v>1535193.2897395005</v>
      </c>
      <c r="DA36" s="81">
        <f t="shared" si="34"/>
        <v>1535193.2897395005</v>
      </c>
      <c r="DB36" s="81">
        <f t="shared" si="34"/>
        <v>1535193.2897395005</v>
      </c>
      <c r="DC36" s="81">
        <f t="shared" si="34"/>
        <v>1535193.2897395005</v>
      </c>
      <c r="DD36" s="81">
        <f t="shared" si="34"/>
        <v>1535193.2897395005</v>
      </c>
      <c r="DE36" s="81">
        <f t="shared" si="34"/>
        <v>1535193.2897395005</v>
      </c>
      <c r="DF36" s="81">
        <f t="shared" si="34"/>
        <v>1535193.2897395005</v>
      </c>
      <c r="DG36" s="81">
        <f t="shared" si="34"/>
        <v>1535193.2897395005</v>
      </c>
      <c r="DH36" s="81">
        <f t="shared" si="34"/>
        <v>1535193.2897395005</v>
      </c>
      <c r="DI36" s="81">
        <f t="shared" si="34"/>
        <v>1535193.2897395005</v>
      </c>
      <c r="DJ36" s="81">
        <f t="shared" ref="DJ36:DU36" si="35">$O26/12</f>
        <v>1636424.0765718922</v>
      </c>
      <c r="DK36" s="81">
        <f t="shared" si="35"/>
        <v>1636424.0765718922</v>
      </c>
      <c r="DL36" s="81">
        <f t="shared" si="35"/>
        <v>1636424.0765718922</v>
      </c>
      <c r="DM36" s="81">
        <f t="shared" si="35"/>
        <v>1636424.0765718922</v>
      </c>
      <c r="DN36" s="81">
        <f t="shared" si="35"/>
        <v>1636424.0765718922</v>
      </c>
      <c r="DO36" s="81">
        <f t="shared" si="35"/>
        <v>1636424.0765718922</v>
      </c>
      <c r="DP36" s="81">
        <f t="shared" si="35"/>
        <v>1636424.0765718922</v>
      </c>
      <c r="DQ36" s="81">
        <f t="shared" si="35"/>
        <v>1636424.0765718922</v>
      </c>
      <c r="DR36" s="81">
        <f t="shared" si="35"/>
        <v>1636424.0765718922</v>
      </c>
      <c r="DS36" s="81">
        <f t="shared" si="35"/>
        <v>1636424.0765718922</v>
      </c>
      <c r="DT36" s="81">
        <f t="shared" si="35"/>
        <v>1636424.0765718922</v>
      </c>
      <c r="DU36" s="81">
        <f t="shared" si="35"/>
        <v>1636424.0765718922</v>
      </c>
      <c r="DV36" s="81">
        <f t="shared" ref="DV36:EG36" si="36">$P26/12</f>
        <v>1744329.3764226392</v>
      </c>
      <c r="DW36" s="81">
        <f t="shared" si="36"/>
        <v>1744329.3764226392</v>
      </c>
      <c r="DX36" s="81">
        <f t="shared" si="36"/>
        <v>1744329.3764226392</v>
      </c>
      <c r="DY36" s="81">
        <f t="shared" si="36"/>
        <v>1744329.3764226392</v>
      </c>
      <c r="DZ36" s="81">
        <f t="shared" si="36"/>
        <v>1744329.3764226392</v>
      </c>
      <c r="EA36" s="81">
        <f t="shared" si="36"/>
        <v>1744329.3764226392</v>
      </c>
      <c r="EB36" s="81">
        <f t="shared" si="36"/>
        <v>1744329.3764226392</v>
      </c>
      <c r="EC36" s="81">
        <f t="shared" si="36"/>
        <v>1744329.3764226392</v>
      </c>
      <c r="ED36" s="81">
        <f t="shared" si="36"/>
        <v>1744329.3764226392</v>
      </c>
      <c r="EE36" s="81">
        <f t="shared" si="36"/>
        <v>1744329.3764226392</v>
      </c>
      <c r="EF36" s="81">
        <f t="shared" si="36"/>
        <v>1744329.3764226392</v>
      </c>
      <c r="EG36" s="81">
        <f t="shared" si="36"/>
        <v>1744329.3764226392</v>
      </c>
      <c r="EH36" s="81">
        <f t="shared" ref="EH36:ES36" si="37">$Q26/12</f>
        <v>1859350.6391636746</v>
      </c>
      <c r="EI36" s="81">
        <f t="shared" si="37"/>
        <v>1859350.6391636746</v>
      </c>
      <c r="EJ36" s="81">
        <f t="shared" si="37"/>
        <v>1859350.6391636746</v>
      </c>
      <c r="EK36" s="81">
        <f t="shared" si="37"/>
        <v>1859350.6391636746</v>
      </c>
      <c r="EL36" s="81">
        <f t="shared" si="37"/>
        <v>1859350.6391636746</v>
      </c>
      <c r="EM36" s="81">
        <f t="shared" si="37"/>
        <v>1859350.6391636746</v>
      </c>
      <c r="EN36" s="81">
        <f t="shared" si="37"/>
        <v>1859350.6391636746</v>
      </c>
      <c r="EO36" s="81">
        <f t="shared" si="37"/>
        <v>1859350.6391636746</v>
      </c>
      <c r="EP36" s="81">
        <f t="shared" si="37"/>
        <v>1859350.6391636746</v>
      </c>
      <c r="EQ36" s="81">
        <f t="shared" si="37"/>
        <v>1859350.6391636746</v>
      </c>
      <c r="ER36" s="81">
        <f t="shared" si="37"/>
        <v>1859350.6391636746</v>
      </c>
      <c r="ES36" s="81">
        <f t="shared" si="37"/>
        <v>1859350.6391636746</v>
      </c>
      <c r="ET36" s="81">
        <f t="shared" ref="ET36:FE36" si="38">$R26/12</f>
        <v>1981956.3164712132</v>
      </c>
      <c r="EU36" s="81">
        <f t="shared" si="38"/>
        <v>1981956.3164712132</v>
      </c>
      <c r="EV36" s="81">
        <f t="shared" si="38"/>
        <v>1981956.3164712132</v>
      </c>
      <c r="EW36" s="81">
        <f t="shared" si="38"/>
        <v>1981956.3164712132</v>
      </c>
      <c r="EX36" s="81">
        <f t="shared" si="38"/>
        <v>1981956.3164712132</v>
      </c>
      <c r="EY36" s="81">
        <f t="shared" si="38"/>
        <v>1981956.3164712132</v>
      </c>
      <c r="EZ36" s="81">
        <f t="shared" si="38"/>
        <v>1981956.3164712132</v>
      </c>
      <c r="FA36" s="81">
        <f t="shared" si="38"/>
        <v>1981956.3164712132</v>
      </c>
      <c r="FB36" s="81">
        <f t="shared" si="38"/>
        <v>1981956.3164712132</v>
      </c>
      <c r="FC36" s="81">
        <f t="shared" si="38"/>
        <v>1981956.3164712132</v>
      </c>
      <c r="FD36" s="81">
        <f t="shared" si="38"/>
        <v>1981956.3164712132</v>
      </c>
      <c r="FE36" s="81">
        <f t="shared" si="38"/>
        <v>1981956.3164712132</v>
      </c>
      <c r="FF36" s="81">
        <f t="shared" ref="FF36:FQ36" si="39">$S26/12</f>
        <v>2112647.0855806046</v>
      </c>
      <c r="FG36" s="81">
        <f t="shared" si="39"/>
        <v>2112647.0855806046</v>
      </c>
      <c r="FH36" s="81">
        <f t="shared" si="39"/>
        <v>2112647.0855806046</v>
      </c>
      <c r="FI36" s="81">
        <f t="shared" si="39"/>
        <v>2112647.0855806046</v>
      </c>
      <c r="FJ36" s="81">
        <f t="shared" si="39"/>
        <v>2112647.0855806046</v>
      </c>
      <c r="FK36" s="81">
        <f t="shared" si="39"/>
        <v>2112647.0855806046</v>
      </c>
      <c r="FL36" s="81">
        <f t="shared" si="39"/>
        <v>2112647.0855806046</v>
      </c>
      <c r="FM36" s="81">
        <f t="shared" si="39"/>
        <v>2112647.0855806046</v>
      </c>
      <c r="FN36" s="81">
        <f t="shared" si="39"/>
        <v>2112647.0855806046</v>
      </c>
      <c r="FO36" s="81">
        <f t="shared" si="39"/>
        <v>2112647.0855806046</v>
      </c>
      <c r="FP36" s="81">
        <f t="shared" si="39"/>
        <v>2112647.0855806046</v>
      </c>
      <c r="FQ36" s="81">
        <f t="shared" si="39"/>
        <v>2112647.0855806046</v>
      </c>
      <c r="FR36" s="81">
        <f t="shared" ref="FR36:GC36" si="40">$T26/12</f>
        <v>2251954.6408353448</v>
      </c>
      <c r="FS36" s="81">
        <f t="shared" si="40"/>
        <v>2251954.6408353448</v>
      </c>
      <c r="FT36" s="81">
        <f t="shared" si="40"/>
        <v>2251954.6408353448</v>
      </c>
      <c r="FU36" s="81">
        <f t="shared" si="40"/>
        <v>2251954.6408353448</v>
      </c>
      <c r="FV36" s="81">
        <f t="shared" si="40"/>
        <v>2251954.6408353448</v>
      </c>
      <c r="FW36" s="81">
        <f t="shared" si="40"/>
        <v>2251954.6408353448</v>
      </c>
      <c r="FX36" s="81">
        <f t="shared" si="40"/>
        <v>2251954.6408353448</v>
      </c>
      <c r="FY36" s="81">
        <f t="shared" si="40"/>
        <v>2251954.6408353448</v>
      </c>
      <c r="FZ36" s="81">
        <f t="shared" si="40"/>
        <v>2251954.6408353448</v>
      </c>
      <c r="GA36" s="81">
        <f t="shared" si="40"/>
        <v>2251954.6408353448</v>
      </c>
      <c r="GB36" s="81">
        <f t="shared" si="40"/>
        <v>2251954.6408353448</v>
      </c>
      <c r="GC36" s="81">
        <f t="shared" si="40"/>
        <v>2251954.6408353448</v>
      </c>
      <c r="GD36" s="81">
        <f t="shared" ref="GD36:GO36" si="41">$U26/12</f>
        <v>2400448.2422676031</v>
      </c>
      <c r="GE36" s="81">
        <f t="shared" si="41"/>
        <v>2400448.2422676031</v>
      </c>
      <c r="GF36" s="81">
        <f t="shared" si="41"/>
        <v>2400448.2422676031</v>
      </c>
      <c r="GG36" s="81">
        <f t="shared" si="41"/>
        <v>2400448.2422676031</v>
      </c>
      <c r="GH36" s="81">
        <f t="shared" si="41"/>
        <v>2400448.2422676031</v>
      </c>
      <c r="GI36" s="81">
        <f t="shared" si="41"/>
        <v>2400448.2422676031</v>
      </c>
      <c r="GJ36" s="81">
        <f t="shared" si="41"/>
        <v>2400448.2422676031</v>
      </c>
      <c r="GK36" s="81">
        <f t="shared" si="41"/>
        <v>2400448.2422676031</v>
      </c>
      <c r="GL36" s="81">
        <f t="shared" si="41"/>
        <v>2400448.2422676031</v>
      </c>
      <c r="GM36" s="81">
        <f t="shared" si="41"/>
        <v>2400448.2422676031</v>
      </c>
      <c r="GN36" s="81">
        <f t="shared" si="41"/>
        <v>2400448.2422676031</v>
      </c>
      <c r="GO36" s="81">
        <f t="shared" si="41"/>
        <v>2400448.2422676031</v>
      </c>
      <c r="GP36" s="81">
        <f t="shared" ref="GP36:HA36" si="42">$V26/12</f>
        <v>2558734.2816156144</v>
      </c>
      <c r="GQ36" s="81">
        <f t="shared" si="42"/>
        <v>2558734.2816156144</v>
      </c>
      <c r="GR36" s="81">
        <f t="shared" si="42"/>
        <v>2558734.2816156144</v>
      </c>
      <c r="GS36" s="81">
        <f t="shared" si="42"/>
        <v>2558734.2816156144</v>
      </c>
      <c r="GT36" s="81">
        <f t="shared" si="42"/>
        <v>2558734.2816156144</v>
      </c>
      <c r="GU36" s="81">
        <f t="shared" si="42"/>
        <v>2558734.2816156144</v>
      </c>
      <c r="GV36" s="81">
        <f t="shared" si="42"/>
        <v>2558734.2816156144</v>
      </c>
      <c r="GW36" s="81">
        <f t="shared" si="42"/>
        <v>2558734.2816156144</v>
      </c>
      <c r="GX36" s="81">
        <f t="shared" si="42"/>
        <v>2558734.2816156144</v>
      </c>
      <c r="GY36" s="81">
        <f t="shared" si="42"/>
        <v>2558734.2816156144</v>
      </c>
      <c r="GZ36" s="81">
        <f t="shared" si="42"/>
        <v>2558734.2816156144</v>
      </c>
      <c r="HA36" s="81">
        <f t="shared" si="42"/>
        <v>2558734.2816156144</v>
      </c>
      <c r="HB36" s="81">
        <f t="shared" ref="HB36:HM36" si="43">$W26/12</f>
        <v>2727457.3856596216</v>
      </c>
      <c r="HC36" s="81">
        <f t="shared" si="43"/>
        <v>2727457.3856596216</v>
      </c>
      <c r="HD36" s="81">
        <f t="shared" si="43"/>
        <v>2727457.3856596216</v>
      </c>
      <c r="HE36" s="81">
        <f t="shared" si="43"/>
        <v>2727457.3856596216</v>
      </c>
      <c r="HF36" s="81">
        <f t="shared" si="43"/>
        <v>2727457.3856596216</v>
      </c>
      <c r="HG36" s="81">
        <f t="shared" si="43"/>
        <v>2727457.3856596216</v>
      </c>
      <c r="HH36" s="81">
        <f t="shared" si="43"/>
        <v>2727457.3856596216</v>
      </c>
      <c r="HI36" s="81">
        <f t="shared" si="43"/>
        <v>2727457.3856596216</v>
      </c>
      <c r="HJ36" s="81">
        <f t="shared" si="43"/>
        <v>2727457.3856596216</v>
      </c>
      <c r="HK36" s="81">
        <f t="shared" si="43"/>
        <v>2727457.3856596216</v>
      </c>
      <c r="HL36" s="81">
        <f t="shared" si="43"/>
        <v>2727457.3856596216</v>
      </c>
      <c r="HM36" s="81">
        <f t="shared" si="43"/>
        <v>2727457.3856596216</v>
      </c>
      <c r="HN36" s="81">
        <f t="shared" ref="HN36:HY36" si="44">$X26/12</f>
        <v>2907305.7964533791</v>
      </c>
      <c r="HO36" s="81">
        <f t="shared" si="44"/>
        <v>2907305.7964533791</v>
      </c>
      <c r="HP36" s="81">
        <f t="shared" si="44"/>
        <v>2907305.7964533791</v>
      </c>
      <c r="HQ36" s="81">
        <f t="shared" si="44"/>
        <v>2907305.7964533791</v>
      </c>
      <c r="HR36" s="81">
        <f t="shared" si="44"/>
        <v>2907305.7964533791</v>
      </c>
      <c r="HS36" s="81">
        <f t="shared" si="44"/>
        <v>2907305.7964533791</v>
      </c>
      <c r="HT36" s="81">
        <f t="shared" si="44"/>
        <v>2907305.7964533791</v>
      </c>
      <c r="HU36" s="81">
        <f t="shared" si="44"/>
        <v>2907305.7964533791</v>
      </c>
      <c r="HV36" s="81">
        <f t="shared" si="44"/>
        <v>2907305.7964533791</v>
      </c>
      <c r="HW36" s="81">
        <f t="shared" si="44"/>
        <v>2907305.7964533791</v>
      </c>
      <c r="HX36" s="81">
        <f t="shared" si="44"/>
        <v>2907305.7964533791</v>
      </c>
      <c r="HY36" s="81">
        <f t="shared" si="44"/>
        <v>2907305.7964533791</v>
      </c>
      <c r="HZ36" s="81">
        <f t="shared" ref="HZ36:IK36" si="45">$Y26/12</f>
        <v>3099014.5160269304</v>
      </c>
      <c r="IA36" s="81">
        <f t="shared" si="45"/>
        <v>3099014.5160269304</v>
      </c>
      <c r="IB36" s="81">
        <f t="shared" si="45"/>
        <v>3099014.5160269304</v>
      </c>
      <c r="IC36" s="81">
        <f t="shared" si="45"/>
        <v>3099014.5160269304</v>
      </c>
      <c r="ID36" s="81">
        <f t="shared" si="45"/>
        <v>3099014.5160269304</v>
      </c>
      <c r="IE36" s="81">
        <f t="shared" si="45"/>
        <v>3099014.5160269304</v>
      </c>
      <c r="IF36" s="81">
        <f t="shared" si="45"/>
        <v>3099014.5160269304</v>
      </c>
      <c r="IG36" s="81">
        <f t="shared" si="45"/>
        <v>3099014.5160269304</v>
      </c>
      <c r="IH36" s="81">
        <f t="shared" si="45"/>
        <v>3099014.5160269304</v>
      </c>
      <c r="II36" s="81">
        <f t="shared" si="45"/>
        <v>3099014.5160269304</v>
      </c>
      <c r="IJ36" s="81">
        <f t="shared" si="45"/>
        <v>3099014.5160269304</v>
      </c>
      <c r="IK36" s="81">
        <f t="shared" si="45"/>
        <v>3099014.5160269304</v>
      </c>
      <c r="IL36" s="81">
        <f t="shared" ref="IL36:IW36" si="46">$Z26/12</f>
        <v>3303362.8544130027</v>
      </c>
      <c r="IM36" s="81">
        <f t="shared" si="46"/>
        <v>3303362.8544130027</v>
      </c>
      <c r="IN36" s="81">
        <f t="shared" si="46"/>
        <v>3303362.8544130027</v>
      </c>
      <c r="IO36" s="81">
        <f t="shared" si="46"/>
        <v>3303362.8544130027</v>
      </c>
      <c r="IP36" s="81">
        <f t="shared" si="46"/>
        <v>3303362.8544130027</v>
      </c>
      <c r="IQ36" s="81">
        <f t="shared" si="46"/>
        <v>3303362.8544130027</v>
      </c>
      <c r="IR36" s="81">
        <f t="shared" si="46"/>
        <v>3303362.8544130027</v>
      </c>
      <c r="IS36" s="81">
        <f t="shared" si="46"/>
        <v>3303362.8544130027</v>
      </c>
      <c r="IT36" s="81">
        <f t="shared" si="46"/>
        <v>3303362.8544130027</v>
      </c>
      <c r="IU36" s="81">
        <f t="shared" si="46"/>
        <v>3303362.8544130027</v>
      </c>
      <c r="IV36" s="81">
        <f t="shared" si="46"/>
        <v>3303362.8544130027</v>
      </c>
      <c r="IW36" s="81">
        <f t="shared" si="46"/>
        <v>3303362.8544130027</v>
      </c>
      <c r="IX36" s="81">
        <f t="shared" ref="IX36:JI36" si="47">$AA26/12</f>
        <v>3521187.2115610284</v>
      </c>
      <c r="IY36" s="81">
        <f t="shared" si="47"/>
        <v>3521187.2115610284</v>
      </c>
      <c r="IZ36" s="81">
        <f t="shared" si="47"/>
        <v>3521187.2115610284</v>
      </c>
      <c r="JA36" s="81">
        <f t="shared" si="47"/>
        <v>3521187.2115610284</v>
      </c>
      <c r="JB36" s="81">
        <f t="shared" si="47"/>
        <v>3521187.2115610284</v>
      </c>
      <c r="JC36" s="81">
        <f t="shared" si="47"/>
        <v>3521187.2115610284</v>
      </c>
      <c r="JD36" s="81">
        <f t="shared" si="47"/>
        <v>3521187.2115610284</v>
      </c>
      <c r="JE36" s="81">
        <f t="shared" si="47"/>
        <v>3521187.2115610284</v>
      </c>
      <c r="JF36" s="81">
        <f t="shared" si="47"/>
        <v>3521187.2115610284</v>
      </c>
      <c r="JG36" s="81">
        <f t="shared" si="47"/>
        <v>3521187.2115610284</v>
      </c>
      <c r="JH36" s="81">
        <f t="shared" si="47"/>
        <v>3521187.2115610284</v>
      </c>
      <c r="JI36" s="81">
        <f t="shared" si="47"/>
        <v>3521187.2115610284</v>
      </c>
      <c r="JJ36" s="81">
        <f t="shared" ref="JJ36:JU36" si="48">$AB26/12</f>
        <v>3753373.9091418278</v>
      </c>
      <c r="JK36" s="81">
        <f t="shared" si="48"/>
        <v>3753373.9091418278</v>
      </c>
      <c r="JL36" s="81">
        <f t="shared" si="48"/>
        <v>3753373.9091418278</v>
      </c>
      <c r="JM36" s="81">
        <f t="shared" si="48"/>
        <v>3753373.9091418278</v>
      </c>
      <c r="JN36" s="81">
        <f t="shared" si="48"/>
        <v>3753373.9091418278</v>
      </c>
      <c r="JO36" s="81">
        <f t="shared" si="48"/>
        <v>3753373.9091418278</v>
      </c>
      <c r="JP36" s="81">
        <f t="shared" si="48"/>
        <v>3753373.9091418278</v>
      </c>
      <c r="JQ36" s="81">
        <f t="shared" si="48"/>
        <v>3753373.9091418278</v>
      </c>
      <c r="JR36" s="81">
        <f t="shared" si="48"/>
        <v>3753373.9091418278</v>
      </c>
      <c r="JS36" s="81">
        <f t="shared" si="48"/>
        <v>3753373.9091418278</v>
      </c>
      <c r="JT36" s="81">
        <f t="shared" si="48"/>
        <v>3753373.9091418278</v>
      </c>
      <c r="JU36" s="81">
        <f t="shared" si="48"/>
        <v>3753373.9091418278</v>
      </c>
      <c r="JV36" s="81">
        <f t="shared" ref="JV36:KG36" si="49">$AC26/12</f>
        <v>4000871.6323788413</v>
      </c>
      <c r="JW36" s="81">
        <f t="shared" si="49"/>
        <v>4000871.6323788413</v>
      </c>
      <c r="JX36" s="81">
        <f t="shared" si="49"/>
        <v>4000871.6323788413</v>
      </c>
      <c r="JY36" s="81">
        <f t="shared" si="49"/>
        <v>4000871.6323788413</v>
      </c>
      <c r="JZ36" s="81">
        <f t="shared" si="49"/>
        <v>4000871.6323788413</v>
      </c>
      <c r="KA36" s="81">
        <f t="shared" si="49"/>
        <v>4000871.6323788413</v>
      </c>
      <c r="KB36" s="81">
        <f t="shared" si="49"/>
        <v>4000871.6323788413</v>
      </c>
      <c r="KC36" s="81">
        <f t="shared" si="49"/>
        <v>4000871.6323788413</v>
      </c>
      <c r="KD36" s="81">
        <f t="shared" si="49"/>
        <v>4000871.6323788413</v>
      </c>
      <c r="KE36" s="81">
        <f t="shared" si="49"/>
        <v>4000871.6323788413</v>
      </c>
      <c r="KF36" s="81">
        <f t="shared" si="49"/>
        <v>4000871.6323788413</v>
      </c>
      <c r="KG36" s="81">
        <f t="shared" si="49"/>
        <v>4000871.6323788413</v>
      </c>
      <c r="KH36" s="81">
        <f t="shared" ref="KH36:KS36" si="50">$AD26/12</f>
        <v>4264689.1445485065</v>
      </c>
      <c r="KI36" s="81">
        <f t="shared" si="50"/>
        <v>4264689.1445485065</v>
      </c>
      <c r="KJ36" s="81">
        <f t="shared" si="50"/>
        <v>4264689.1445485065</v>
      </c>
      <c r="KK36" s="81">
        <f t="shared" si="50"/>
        <v>4264689.1445485065</v>
      </c>
      <c r="KL36" s="81">
        <f t="shared" si="50"/>
        <v>4264689.1445485065</v>
      </c>
      <c r="KM36" s="81">
        <f t="shared" si="50"/>
        <v>4264689.1445485065</v>
      </c>
      <c r="KN36" s="81">
        <f t="shared" si="50"/>
        <v>4264689.1445485065</v>
      </c>
      <c r="KO36" s="81">
        <f t="shared" si="50"/>
        <v>4264689.1445485065</v>
      </c>
      <c r="KP36" s="81">
        <f t="shared" si="50"/>
        <v>4264689.1445485065</v>
      </c>
      <c r="KQ36" s="81">
        <f t="shared" si="50"/>
        <v>4264689.1445485065</v>
      </c>
      <c r="KR36" s="81">
        <f t="shared" si="50"/>
        <v>4264689.1445485065</v>
      </c>
      <c r="KS36" s="81">
        <f t="shared" si="50"/>
        <v>4264689.1445485065</v>
      </c>
    </row>
    <row r="37" spans="1:305">
      <c r="A37" s="74" t="s">
        <v>128</v>
      </c>
      <c r="B37" s="37" t="str">
        <f>$B$7</f>
        <v>Adubo Orgânico</v>
      </c>
      <c r="C37" s="37"/>
      <c r="D37" s="76">
        <f>$E$7</f>
        <v>24.635999999999999</v>
      </c>
      <c r="E37" s="39"/>
      <c r="F37" s="81">
        <f t="shared" ref="F37:Q37" si="51">$F27/12</f>
        <v>102998.02456000001</v>
      </c>
      <c r="G37" s="81">
        <f t="shared" si="51"/>
        <v>102998.02456000001</v>
      </c>
      <c r="H37" s="81">
        <f t="shared" si="51"/>
        <v>102998.02456000001</v>
      </c>
      <c r="I37" s="81">
        <f t="shared" si="51"/>
        <v>102998.02456000001</v>
      </c>
      <c r="J37" s="81">
        <f t="shared" si="51"/>
        <v>102998.02456000001</v>
      </c>
      <c r="K37" s="81">
        <f t="shared" si="51"/>
        <v>102998.02456000001</v>
      </c>
      <c r="L37" s="81">
        <f t="shared" si="51"/>
        <v>102998.02456000001</v>
      </c>
      <c r="M37" s="81">
        <f t="shared" si="51"/>
        <v>102998.02456000001</v>
      </c>
      <c r="N37" s="81">
        <f t="shared" si="51"/>
        <v>102998.02456000001</v>
      </c>
      <c r="O37" s="81">
        <f t="shared" si="51"/>
        <v>102998.02456000001</v>
      </c>
      <c r="P37" s="81">
        <f t="shared" si="51"/>
        <v>102998.02456000001</v>
      </c>
      <c r="Q37" s="81">
        <f t="shared" si="51"/>
        <v>102998.02456000001</v>
      </c>
      <c r="R37" s="81">
        <f t="shared" ref="R37:AC37" si="52">$G27/12</f>
        <v>109844.19246564301</v>
      </c>
      <c r="S37" s="81">
        <f t="shared" si="52"/>
        <v>109844.19246564301</v>
      </c>
      <c r="T37" s="81">
        <f t="shared" si="52"/>
        <v>109844.19246564301</v>
      </c>
      <c r="U37" s="81">
        <f t="shared" si="52"/>
        <v>109844.19246564301</v>
      </c>
      <c r="V37" s="81">
        <f t="shared" si="52"/>
        <v>109844.19246564301</v>
      </c>
      <c r="W37" s="81">
        <f t="shared" si="52"/>
        <v>109844.19246564301</v>
      </c>
      <c r="X37" s="81">
        <f t="shared" si="52"/>
        <v>109844.19246564301</v>
      </c>
      <c r="Y37" s="81">
        <f t="shared" si="52"/>
        <v>109844.19246564301</v>
      </c>
      <c r="Z37" s="81">
        <f t="shared" si="52"/>
        <v>109844.19246564301</v>
      </c>
      <c r="AA37" s="81">
        <f t="shared" si="52"/>
        <v>109844.19246564301</v>
      </c>
      <c r="AB37" s="81">
        <f t="shared" si="52"/>
        <v>109844.19246564301</v>
      </c>
      <c r="AC37" s="81">
        <f t="shared" si="52"/>
        <v>109844.19246564301</v>
      </c>
      <c r="AD37" s="81">
        <f t="shared" ref="AD37:AO37" si="53">$H27/12</f>
        <v>117145.41417670781</v>
      </c>
      <c r="AE37" s="81">
        <f t="shared" si="53"/>
        <v>117145.41417670781</v>
      </c>
      <c r="AF37" s="81">
        <f t="shared" si="53"/>
        <v>117145.41417670781</v>
      </c>
      <c r="AG37" s="81">
        <f t="shared" si="53"/>
        <v>117145.41417670781</v>
      </c>
      <c r="AH37" s="81">
        <f t="shared" si="53"/>
        <v>117145.41417670781</v>
      </c>
      <c r="AI37" s="81">
        <f t="shared" si="53"/>
        <v>117145.41417670781</v>
      </c>
      <c r="AJ37" s="81">
        <f t="shared" si="53"/>
        <v>117145.41417670781</v>
      </c>
      <c r="AK37" s="81">
        <f t="shared" si="53"/>
        <v>117145.41417670781</v>
      </c>
      <c r="AL37" s="81">
        <f t="shared" si="53"/>
        <v>117145.41417670781</v>
      </c>
      <c r="AM37" s="81">
        <f t="shared" si="53"/>
        <v>117145.41417670781</v>
      </c>
      <c r="AN37" s="81">
        <f t="shared" si="53"/>
        <v>117145.41417670781</v>
      </c>
      <c r="AO37" s="81">
        <f t="shared" si="53"/>
        <v>117145.41417670781</v>
      </c>
      <c r="AP37" s="81">
        <f t="shared" ref="AP37:BA37" si="54">$I27/12</f>
        <v>124931.96866410923</v>
      </c>
      <c r="AQ37" s="81">
        <f t="shared" si="54"/>
        <v>124931.96866410923</v>
      </c>
      <c r="AR37" s="81">
        <f t="shared" si="54"/>
        <v>124931.96866410923</v>
      </c>
      <c r="AS37" s="81">
        <f t="shared" si="54"/>
        <v>124931.96866410923</v>
      </c>
      <c r="AT37" s="81">
        <f t="shared" si="54"/>
        <v>124931.96866410923</v>
      </c>
      <c r="AU37" s="81">
        <f t="shared" si="54"/>
        <v>124931.96866410923</v>
      </c>
      <c r="AV37" s="81">
        <f t="shared" si="54"/>
        <v>124931.96866410923</v>
      </c>
      <c r="AW37" s="81">
        <f t="shared" si="54"/>
        <v>124931.96866410923</v>
      </c>
      <c r="AX37" s="81">
        <f t="shared" si="54"/>
        <v>124931.96866410923</v>
      </c>
      <c r="AY37" s="81">
        <f t="shared" si="54"/>
        <v>124931.96866410923</v>
      </c>
      <c r="AZ37" s="81">
        <f t="shared" si="54"/>
        <v>124931.96866410923</v>
      </c>
      <c r="BA37" s="81">
        <f t="shared" si="54"/>
        <v>124931.96866410923</v>
      </c>
      <c r="BB37" s="81">
        <f t="shared" ref="BB37:BM37" si="55">$J27/12</f>
        <v>133236.07513527662</v>
      </c>
      <c r="BC37" s="81">
        <f t="shared" si="55"/>
        <v>133236.07513527662</v>
      </c>
      <c r="BD37" s="81">
        <f t="shared" si="55"/>
        <v>133236.07513527662</v>
      </c>
      <c r="BE37" s="81">
        <f t="shared" si="55"/>
        <v>133236.07513527662</v>
      </c>
      <c r="BF37" s="81">
        <f t="shared" si="55"/>
        <v>133236.07513527662</v>
      </c>
      <c r="BG37" s="81">
        <f t="shared" si="55"/>
        <v>133236.07513527662</v>
      </c>
      <c r="BH37" s="81">
        <f t="shared" si="55"/>
        <v>133236.07513527662</v>
      </c>
      <c r="BI37" s="81">
        <f t="shared" si="55"/>
        <v>133236.07513527662</v>
      </c>
      <c r="BJ37" s="81">
        <f t="shared" si="55"/>
        <v>133236.07513527662</v>
      </c>
      <c r="BK37" s="81">
        <f t="shared" si="55"/>
        <v>133236.07513527662</v>
      </c>
      <c r="BL37" s="81">
        <f t="shared" si="55"/>
        <v>133236.07513527662</v>
      </c>
      <c r="BM37" s="81">
        <f t="shared" si="55"/>
        <v>133236.07513527662</v>
      </c>
      <c r="BN37" s="81">
        <f t="shared" ref="BN37:BY37" si="56">$K27/12</f>
        <v>142092.14126512184</v>
      </c>
      <c r="BO37" s="81">
        <f t="shared" si="56"/>
        <v>142092.14126512184</v>
      </c>
      <c r="BP37" s="81">
        <f t="shared" si="56"/>
        <v>142092.14126512184</v>
      </c>
      <c r="BQ37" s="81">
        <f t="shared" si="56"/>
        <v>142092.14126512184</v>
      </c>
      <c r="BR37" s="81">
        <f t="shared" si="56"/>
        <v>142092.14126512184</v>
      </c>
      <c r="BS37" s="81">
        <f t="shared" si="56"/>
        <v>142092.14126512184</v>
      </c>
      <c r="BT37" s="81">
        <f t="shared" si="56"/>
        <v>142092.14126512184</v>
      </c>
      <c r="BU37" s="81">
        <f t="shared" si="56"/>
        <v>142092.14126512184</v>
      </c>
      <c r="BV37" s="81">
        <f t="shared" si="56"/>
        <v>142092.14126512184</v>
      </c>
      <c r="BW37" s="81">
        <f t="shared" si="56"/>
        <v>142092.14126512184</v>
      </c>
      <c r="BX37" s="81">
        <f t="shared" si="56"/>
        <v>142092.14126512184</v>
      </c>
      <c r="BY37" s="81">
        <f t="shared" si="56"/>
        <v>142092.14126512184</v>
      </c>
      <c r="BZ37" s="81">
        <f t="shared" ref="BZ37:CK37" si="57">$L27/12</f>
        <v>151536.83355529181</v>
      </c>
      <c r="CA37" s="81">
        <f t="shared" si="57"/>
        <v>151536.83355529181</v>
      </c>
      <c r="CB37" s="81">
        <f t="shared" si="57"/>
        <v>151536.83355529181</v>
      </c>
      <c r="CC37" s="81">
        <f t="shared" si="57"/>
        <v>151536.83355529181</v>
      </c>
      <c r="CD37" s="81">
        <f t="shared" si="57"/>
        <v>151536.83355529181</v>
      </c>
      <c r="CE37" s="81">
        <f t="shared" si="57"/>
        <v>151536.83355529181</v>
      </c>
      <c r="CF37" s="81">
        <f t="shared" si="57"/>
        <v>151536.83355529181</v>
      </c>
      <c r="CG37" s="81">
        <f t="shared" si="57"/>
        <v>151536.83355529181</v>
      </c>
      <c r="CH37" s="81">
        <f t="shared" si="57"/>
        <v>151536.83355529181</v>
      </c>
      <c r="CI37" s="81">
        <f t="shared" si="57"/>
        <v>151536.83355529181</v>
      </c>
      <c r="CJ37" s="81">
        <f t="shared" si="57"/>
        <v>151536.83355529181</v>
      </c>
      <c r="CK37" s="81">
        <f t="shared" si="57"/>
        <v>151536.83355529181</v>
      </c>
      <c r="CL37" s="81">
        <f t="shared" ref="CL37:CW37" si="58">$M27/12</f>
        <v>161609.37326662746</v>
      </c>
      <c r="CM37" s="81">
        <f t="shared" si="58"/>
        <v>161609.37326662746</v>
      </c>
      <c r="CN37" s="81">
        <f t="shared" si="58"/>
        <v>161609.37326662746</v>
      </c>
      <c r="CO37" s="81">
        <f t="shared" si="58"/>
        <v>161609.37326662746</v>
      </c>
      <c r="CP37" s="81">
        <f t="shared" si="58"/>
        <v>161609.37326662746</v>
      </c>
      <c r="CQ37" s="81">
        <f t="shared" si="58"/>
        <v>161609.37326662746</v>
      </c>
      <c r="CR37" s="81">
        <f t="shared" si="58"/>
        <v>161609.37326662746</v>
      </c>
      <c r="CS37" s="81">
        <f t="shared" si="58"/>
        <v>161609.37326662746</v>
      </c>
      <c r="CT37" s="81">
        <f t="shared" si="58"/>
        <v>161609.37326662746</v>
      </c>
      <c r="CU37" s="81">
        <f t="shared" si="58"/>
        <v>161609.37326662746</v>
      </c>
      <c r="CV37" s="81">
        <f t="shared" si="58"/>
        <v>161609.37326662746</v>
      </c>
      <c r="CW37" s="81">
        <f t="shared" si="58"/>
        <v>161609.37326662746</v>
      </c>
      <c r="CX37" s="81">
        <f t="shared" ref="CX37:DI37" si="59">$N27/12</f>
        <v>172351.34636977021</v>
      </c>
      <c r="CY37" s="81">
        <f t="shared" si="59"/>
        <v>172351.34636977021</v>
      </c>
      <c r="CZ37" s="81">
        <f t="shared" si="59"/>
        <v>172351.34636977021</v>
      </c>
      <c r="DA37" s="81">
        <f t="shared" si="59"/>
        <v>172351.34636977021</v>
      </c>
      <c r="DB37" s="81">
        <f t="shared" si="59"/>
        <v>172351.34636977021</v>
      </c>
      <c r="DC37" s="81">
        <f t="shared" si="59"/>
        <v>172351.34636977021</v>
      </c>
      <c r="DD37" s="81">
        <f t="shared" si="59"/>
        <v>172351.34636977021</v>
      </c>
      <c r="DE37" s="81">
        <f t="shared" si="59"/>
        <v>172351.34636977021</v>
      </c>
      <c r="DF37" s="81">
        <f t="shared" si="59"/>
        <v>172351.34636977021</v>
      </c>
      <c r="DG37" s="81">
        <f t="shared" si="59"/>
        <v>172351.34636977021</v>
      </c>
      <c r="DH37" s="81">
        <f t="shared" si="59"/>
        <v>172351.34636977021</v>
      </c>
      <c r="DI37" s="81">
        <f t="shared" si="59"/>
        <v>172351.34636977021</v>
      </c>
      <c r="DJ37" s="81">
        <f t="shared" ref="DJ37:DU37" si="60">$O27/12</f>
        <v>183807.38408362272</v>
      </c>
      <c r="DK37" s="81">
        <f t="shared" si="60"/>
        <v>183807.38408362272</v>
      </c>
      <c r="DL37" s="81">
        <f t="shared" si="60"/>
        <v>183807.38408362272</v>
      </c>
      <c r="DM37" s="81">
        <f t="shared" si="60"/>
        <v>183807.38408362272</v>
      </c>
      <c r="DN37" s="81">
        <f t="shared" si="60"/>
        <v>183807.38408362272</v>
      </c>
      <c r="DO37" s="81">
        <f t="shared" si="60"/>
        <v>183807.38408362272</v>
      </c>
      <c r="DP37" s="81">
        <f t="shared" si="60"/>
        <v>183807.38408362272</v>
      </c>
      <c r="DQ37" s="81">
        <f t="shared" si="60"/>
        <v>183807.38408362272</v>
      </c>
      <c r="DR37" s="81">
        <f t="shared" si="60"/>
        <v>183807.38408362272</v>
      </c>
      <c r="DS37" s="81">
        <f t="shared" si="60"/>
        <v>183807.38408362272</v>
      </c>
      <c r="DT37" s="81">
        <f t="shared" si="60"/>
        <v>183807.38408362272</v>
      </c>
      <c r="DU37" s="81">
        <f t="shared" si="60"/>
        <v>183807.38408362272</v>
      </c>
      <c r="DV37" s="81">
        <f t="shared" ref="DV37:EG37" si="61">$P27/12</f>
        <v>196024.89009398667</v>
      </c>
      <c r="DW37" s="81">
        <f t="shared" si="61"/>
        <v>196024.89009398667</v>
      </c>
      <c r="DX37" s="81">
        <f t="shared" si="61"/>
        <v>196024.89009398667</v>
      </c>
      <c r="DY37" s="81">
        <f t="shared" si="61"/>
        <v>196024.89009398667</v>
      </c>
      <c r="DZ37" s="81">
        <f t="shared" si="61"/>
        <v>196024.89009398667</v>
      </c>
      <c r="EA37" s="81">
        <f t="shared" si="61"/>
        <v>196024.89009398667</v>
      </c>
      <c r="EB37" s="81">
        <f t="shared" si="61"/>
        <v>196024.89009398667</v>
      </c>
      <c r="EC37" s="81">
        <f t="shared" si="61"/>
        <v>196024.89009398667</v>
      </c>
      <c r="ED37" s="81">
        <f t="shared" si="61"/>
        <v>196024.89009398667</v>
      </c>
      <c r="EE37" s="81">
        <f t="shared" si="61"/>
        <v>196024.89009398667</v>
      </c>
      <c r="EF37" s="81">
        <f t="shared" si="61"/>
        <v>196024.89009398667</v>
      </c>
      <c r="EG37" s="81">
        <f t="shared" si="61"/>
        <v>196024.89009398667</v>
      </c>
      <c r="EH37" s="81">
        <f t="shared" ref="EH37:ES37" si="62">$Q27/12</f>
        <v>209054.44587869337</v>
      </c>
      <c r="EI37" s="81">
        <f t="shared" si="62"/>
        <v>209054.44587869337</v>
      </c>
      <c r="EJ37" s="81">
        <f t="shared" si="62"/>
        <v>209054.44587869337</v>
      </c>
      <c r="EK37" s="81">
        <f t="shared" si="62"/>
        <v>209054.44587869337</v>
      </c>
      <c r="EL37" s="81">
        <f t="shared" si="62"/>
        <v>209054.44587869337</v>
      </c>
      <c r="EM37" s="81">
        <f t="shared" si="62"/>
        <v>209054.44587869337</v>
      </c>
      <c r="EN37" s="81">
        <f t="shared" si="62"/>
        <v>209054.44587869337</v>
      </c>
      <c r="EO37" s="81">
        <f t="shared" si="62"/>
        <v>209054.44587869337</v>
      </c>
      <c r="EP37" s="81">
        <f t="shared" si="62"/>
        <v>209054.44587869337</v>
      </c>
      <c r="EQ37" s="81">
        <f t="shared" si="62"/>
        <v>209054.44587869337</v>
      </c>
      <c r="ER37" s="81">
        <f t="shared" si="62"/>
        <v>209054.44587869337</v>
      </c>
      <c r="ES37" s="81">
        <f t="shared" si="62"/>
        <v>209054.44587869337</v>
      </c>
      <c r="ET37" s="81">
        <f t="shared" ref="ET37:FE37" si="63">$R27/12</f>
        <v>222950.0694188386</v>
      </c>
      <c r="EU37" s="81">
        <f t="shared" si="63"/>
        <v>222950.0694188386</v>
      </c>
      <c r="EV37" s="81">
        <f t="shared" si="63"/>
        <v>222950.0694188386</v>
      </c>
      <c r="EW37" s="81">
        <f t="shared" si="63"/>
        <v>222950.0694188386</v>
      </c>
      <c r="EX37" s="81">
        <f t="shared" si="63"/>
        <v>222950.0694188386</v>
      </c>
      <c r="EY37" s="81">
        <f t="shared" si="63"/>
        <v>222950.0694188386</v>
      </c>
      <c r="EZ37" s="81">
        <f t="shared" si="63"/>
        <v>222950.0694188386</v>
      </c>
      <c r="FA37" s="81">
        <f t="shared" si="63"/>
        <v>222950.0694188386</v>
      </c>
      <c r="FB37" s="81">
        <f t="shared" si="63"/>
        <v>222950.0694188386</v>
      </c>
      <c r="FC37" s="81">
        <f t="shared" si="63"/>
        <v>222950.0694188386</v>
      </c>
      <c r="FD37" s="81">
        <f t="shared" si="63"/>
        <v>222950.0694188386</v>
      </c>
      <c r="FE37" s="81">
        <f t="shared" si="63"/>
        <v>222950.0694188386</v>
      </c>
      <c r="FF37" s="81">
        <f t="shared" ref="FF37:FQ37" si="64">$S27/12</f>
        <v>237769.37546335024</v>
      </c>
      <c r="FG37" s="81">
        <f t="shared" si="64"/>
        <v>237769.37546335024</v>
      </c>
      <c r="FH37" s="81">
        <f t="shared" si="64"/>
        <v>237769.37546335024</v>
      </c>
      <c r="FI37" s="81">
        <f t="shared" si="64"/>
        <v>237769.37546335024</v>
      </c>
      <c r="FJ37" s="81">
        <f t="shared" si="64"/>
        <v>237769.37546335024</v>
      </c>
      <c r="FK37" s="81">
        <f t="shared" si="64"/>
        <v>237769.37546335024</v>
      </c>
      <c r="FL37" s="81">
        <f t="shared" si="64"/>
        <v>237769.37546335024</v>
      </c>
      <c r="FM37" s="81">
        <f t="shared" si="64"/>
        <v>237769.37546335024</v>
      </c>
      <c r="FN37" s="81">
        <f t="shared" si="64"/>
        <v>237769.37546335024</v>
      </c>
      <c r="FO37" s="81">
        <f t="shared" si="64"/>
        <v>237769.37546335024</v>
      </c>
      <c r="FP37" s="81">
        <f t="shared" si="64"/>
        <v>237769.37546335024</v>
      </c>
      <c r="FQ37" s="81">
        <f t="shared" si="64"/>
        <v>237769.37546335024</v>
      </c>
      <c r="FR37" s="81">
        <f t="shared" ref="FR37:GC37" si="65">$T27/12</f>
        <v>253573.63459814331</v>
      </c>
      <c r="FS37" s="81">
        <f t="shared" si="65"/>
        <v>253573.63459814331</v>
      </c>
      <c r="FT37" s="81">
        <f t="shared" si="65"/>
        <v>253573.63459814331</v>
      </c>
      <c r="FU37" s="81">
        <f t="shared" si="65"/>
        <v>253573.63459814331</v>
      </c>
      <c r="FV37" s="81">
        <f t="shared" si="65"/>
        <v>253573.63459814331</v>
      </c>
      <c r="FW37" s="81">
        <f t="shared" si="65"/>
        <v>253573.63459814331</v>
      </c>
      <c r="FX37" s="81">
        <f t="shared" si="65"/>
        <v>253573.63459814331</v>
      </c>
      <c r="FY37" s="81">
        <f t="shared" si="65"/>
        <v>253573.63459814331</v>
      </c>
      <c r="FZ37" s="81">
        <f t="shared" si="65"/>
        <v>253573.63459814331</v>
      </c>
      <c r="GA37" s="81">
        <f t="shared" si="65"/>
        <v>253573.63459814331</v>
      </c>
      <c r="GB37" s="81">
        <f t="shared" si="65"/>
        <v>253573.63459814331</v>
      </c>
      <c r="GC37" s="81">
        <f t="shared" si="65"/>
        <v>253573.63459814331</v>
      </c>
      <c r="GD37" s="81">
        <f t="shared" ref="GD37:GO37" si="66">$U27/12</f>
        <v>270428.40642275376</v>
      </c>
      <c r="GE37" s="81">
        <f t="shared" si="66"/>
        <v>270428.40642275376</v>
      </c>
      <c r="GF37" s="81">
        <f t="shared" si="66"/>
        <v>270428.40642275376</v>
      </c>
      <c r="GG37" s="81">
        <f t="shared" si="66"/>
        <v>270428.40642275376</v>
      </c>
      <c r="GH37" s="81">
        <f t="shared" si="66"/>
        <v>270428.40642275376</v>
      </c>
      <c r="GI37" s="81">
        <f t="shared" si="66"/>
        <v>270428.40642275376</v>
      </c>
      <c r="GJ37" s="81">
        <f t="shared" si="66"/>
        <v>270428.40642275376</v>
      </c>
      <c r="GK37" s="81">
        <f t="shared" si="66"/>
        <v>270428.40642275376</v>
      </c>
      <c r="GL37" s="81">
        <f t="shared" si="66"/>
        <v>270428.40642275376</v>
      </c>
      <c r="GM37" s="81">
        <f t="shared" si="66"/>
        <v>270428.40642275376</v>
      </c>
      <c r="GN37" s="81">
        <f t="shared" si="66"/>
        <v>270428.40642275376</v>
      </c>
      <c r="GO37" s="81">
        <f t="shared" si="66"/>
        <v>270428.40642275376</v>
      </c>
      <c r="GP37" s="81">
        <f t="shared" ref="GP37:HA37" si="67">$V27/12</f>
        <v>288403.5216110957</v>
      </c>
      <c r="GQ37" s="81">
        <f t="shared" si="67"/>
        <v>288403.5216110957</v>
      </c>
      <c r="GR37" s="81">
        <f t="shared" si="67"/>
        <v>288403.5216110957</v>
      </c>
      <c r="GS37" s="81">
        <f t="shared" si="67"/>
        <v>288403.5216110957</v>
      </c>
      <c r="GT37" s="81">
        <f t="shared" si="67"/>
        <v>288403.5216110957</v>
      </c>
      <c r="GU37" s="81">
        <f t="shared" si="67"/>
        <v>288403.5216110957</v>
      </c>
      <c r="GV37" s="81">
        <f t="shared" si="67"/>
        <v>288403.5216110957</v>
      </c>
      <c r="GW37" s="81">
        <f t="shared" si="67"/>
        <v>288403.5216110957</v>
      </c>
      <c r="GX37" s="81">
        <f t="shared" si="67"/>
        <v>288403.5216110957</v>
      </c>
      <c r="GY37" s="81">
        <f t="shared" si="67"/>
        <v>288403.5216110957</v>
      </c>
      <c r="GZ37" s="81">
        <f t="shared" si="67"/>
        <v>288403.5216110957</v>
      </c>
      <c r="HA37" s="81">
        <f t="shared" si="67"/>
        <v>288403.5216110957</v>
      </c>
      <c r="HB37" s="81">
        <f t="shared" ref="HB37:HM37" si="68">$W27/12</f>
        <v>307573.39818199223</v>
      </c>
      <c r="HC37" s="81">
        <f t="shared" si="68"/>
        <v>307573.39818199223</v>
      </c>
      <c r="HD37" s="81">
        <f t="shared" si="68"/>
        <v>307573.39818199223</v>
      </c>
      <c r="HE37" s="81">
        <f t="shared" si="68"/>
        <v>307573.39818199223</v>
      </c>
      <c r="HF37" s="81">
        <f t="shared" si="68"/>
        <v>307573.39818199223</v>
      </c>
      <c r="HG37" s="81">
        <f t="shared" si="68"/>
        <v>307573.39818199223</v>
      </c>
      <c r="HH37" s="81">
        <f t="shared" si="68"/>
        <v>307573.39818199223</v>
      </c>
      <c r="HI37" s="81">
        <f t="shared" si="68"/>
        <v>307573.39818199223</v>
      </c>
      <c r="HJ37" s="81">
        <f t="shared" si="68"/>
        <v>307573.39818199223</v>
      </c>
      <c r="HK37" s="81">
        <f t="shared" si="68"/>
        <v>307573.39818199223</v>
      </c>
      <c r="HL37" s="81">
        <f t="shared" si="68"/>
        <v>307573.39818199223</v>
      </c>
      <c r="HM37" s="81">
        <f t="shared" si="68"/>
        <v>307573.39818199223</v>
      </c>
      <c r="HN37" s="81">
        <f t="shared" ref="HN37:HY37" si="69">$X27/12</f>
        <v>328017.50387990841</v>
      </c>
      <c r="HO37" s="81">
        <f t="shared" si="69"/>
        <v>328017.50387990841</v>
      </c>
      <c r="HP37" s="81">
        <f t="shared" si="69"/>
        <v>328017.50387990841</v>
      </c>
      <c r="HQ37" s="81">
        <f t="shared" si="69"/>
        <v>328017.50387990841</v>
      </c>
      <c r="HR37" s="81">
        <f t="shared" si="69"/>
        <v>328017.50387990841</v>
      </c>
      <c r="HS37" s="81">
        <f t="shared" si="69"/>
        <v>328017.50387990841</v>
      </c>
      <c r="HT37" s="81">
        <f t="shared" si="69"/>
        <v>328017.50387990841</v>
      </c>
      <c r="HU37" s="81">
        <f t="shared" si="69"/>
        <v>328017.50387990841</v>
      </c>
      <c r="HV37" s="81">
        <f t="shared" si="69"/>
        <v>328017.50387990841</v>
      </c>
      <c r="HW37" s="81">
        <f t="shared" si="69"/>
        <v>328017.50387990841</v>
      </c>
      <c r="HX37" s="81">
        <f t="shared" si="69"/>
        <v>328017.50387990841</v>
      </c>
      <c r="HY37" s="81">
        <f t="shared" si="69"/>
        <v>328017.50387990841</v>
      </c>
      <c r="HZ37" s="81">
        <f t="shared" ref="HZ37:IK37" si="70">$Y27/12</f>
        <v>349820.47651638923</v>
      </c>
      <c r="IA37" s="81">
        <f t="shared" si="70"/>
        <v>349820.47651638923</v>
      </c>
      <c r="IB37" s="81">
        <f t="shared" si="70"/>
        <v>349820.47651638923</v>
      </c>
      <c r="IC37" s="81">
        <f t="shared" si="70"/>
        <v>349820.47651638923</v>
      </c>
      <c r="ID37" s="81">
        <f t="shared" si="70"/>
        <v>349820.47651638923</v>
      </c>
      <c r="IE37" s="81">
        <f t="shared" si="70"/>
        <v>349820.47651638923</v>
      </c>
      <c r="IF37" s="81">
        <f t="shared" si="70"/>
        <v>349820.47651638923</v>
      </c>
      <c r="IG37" s="81">
        <f t="shared" si="70"/>
        <v>349820.47651638923</v>
      </c>
      <c r="IH37" s="81">
        <f t="shared" si="70"/>
        <v>349820.47651638923</v>
      </c>
      <c r="II37" s="81">
        <f t="shared" si="70"/>
        <v>349820.47651638923</v>
      </c>
      <c r="IJ37" s="81">
        <f t="shared" si="70"/>
        <v>349820.47651638923</v>
      </c>
      <c r="IK37" s="81">
        <f t="shared" si="70"/>
        <v>349820.47651638923</v>
      </c>
      <c r="IL37" s="81">
        <f t="shared" ref="IL37:IW37" si="71">$Z27/12</f>
        <v>373072.69472681632</v>
      </c>
      <c r="IM37" s="81">
        <f t="shared" si="71"/>
        <v>373072.69472681632</v>
      </c>
      <c r="IN37" s="81">
        <f t="shared" si="71"/>
        <v>373072.69472681632</v>
      </c>
      <c r="IO37" s="81">
        <f t="shared" si="71"/>
        <v>373072.69472681632</v>
      </c>
      <c r="IP37" s="81">
        <f t="shared" si="71"/>
        <v>373072.69472681632</v>
      </c>
      <c r="IQ37" s="81">
        <f t="shared" si="71"/>
        <v>373072.69472681632</v>
      </c>
      <c r="IR37" s="81">
        <f t="shared" si="71"/>
        <v>373072.69472681632</v>
      </c>
      <c r="IS37" s="81">
        <f t="shared" si="71"/>
        <v>373072.69472681632</v>
      </c>
      <c r="IT37" s="81">
        <f t="shared" si="71"/>
        <v>373072.69472681632</v>
      </c>
      <c r="IU37" s="81">
        <f t="shared" si="71"/>
        <v>373072.69472681632</v>
      </c>
      <c r="IV37" s="81">
        <f t="shared" si="71"/>
        <v>373072.69472681632</v>
      </c>
      <c r="IW37" s="81">
        <f t="shared" si="71"/>
        <v>373072.69472681632</v>
      </c>
      <c r="IX37" s="81">
        <f t="shared" ref="IX37:JI37" si="72">$AA27/12</f>
        <v>397870.48548186029</v>
      </c>
      <c r="IY37" s="81">
        <f t="shared" si="72"/>
        <v>397870.48548186029</v>
      </c>
      <c r="IZ37" s="81">
        <f t="shared" si="72"/>
        <v>397870.48548186029</v>
      </c>
      <c r="JA37" s="81">
        <f t="shared" si="72"/>
        <v>397870.48548186029</v>
      </c>
      <c r="JB37" s="81">
        <f t="shared" si="72"/>
        <v>397870.48548186029</v>
      </c>
      <c r="JC37" s="81">
        <f t="shared" si="72"/>
        <v>397870.48548186029</v>
      </c>
      <c r="JD37" s="81">
        <f t="shared" si="72"/>
        <v>397870.48548186029</v>
      </c>
      <c r="JE37" s="81">
        <f t="shared" si="72"/>
        <v>397870.48548186029</v>
      </c>
      <c r="JF37" s="81">
        <f t="shared" si="72"/>
        <v>397870.48548186029</v>
      </c>
      <c r="JG37" s="81">
        <f t="shared" si="72"/>
        <v>397870.48548186029</v>
      </c>
      <c r="JH37" s="81">
        <f t="shared" si="72"/>
        <v>397870.48548186029</v>
      </c>
      <c r="JI37" s="81">
        <f t="shared" si="72"/>
        <v>397870.48548186029</v>
      </c>
      <c r="JJ37" s="81">
        <f t="shared" ref="JJ37:JU37" si="73">$AB27/12</f>
        <v>424316.50521305815</v>
      </c>
      <c r="JK37" s="81">
        <f t="shared" si="73"/>
        <v>424316.50521305815</v>
      </c>
      <c r="JL37" s="81">
        <f t="shared" si="73"/>
        <v>424316.50521305815</v>
      </c>
      <c r="JM37" s="81">
        <f t="shared" si="73"/>
        <v>424316.50521305815</v>
      </c>
      <c r="JN37" s="81">
        <f t="shared" si="73"/>
        <v>424316.50521305815</v>
      </c>
      <c r="JO37" s="81">
        <f t="shared" si="73"/>
        <v>424316.50521305815</v>
      </c>
      <c r="JP37" s="81">
        <f t="shared" si="73"/>
        <v>424316.50521305815</v>
      </c>
      <c r="JQ37" s="81">
        <f t="shared" si="73"/>
        <v>424316.50521305815</v>
      </c>
      <c r="JR37" s="81">
        <f t="shared" si="73"/>
        <v>424316.50521305815</v>
      </c>
      <c r="JS37" s="81">
        <f t="shared" si="73"/>
        <v>424316.50521305815</v>
      </c>
      <c r="JT37" s="81">
        <f t="shared" si="73"/>
        <v>424316.50521305815</v>
      </c>
      <c r="JU37" s="81">
        <f t="shared" si="73"/>
        <v>424316.50521305815</v>
      </c>
      <c r="JV37" s="81">
        <f t="shared" ref="JV37:KG37" si="74">$AC27/12</f>
        <v>452520.36900386569</v>
      </c>
      <c r="JW37" s="81">
        <f t="shared" si="74"/>
        <v>452520.36900386569</v>
      </c>
      <c r="JX37" s="81">
        <f t="shared" si="74"/>
        <v>452520.36900386569</v>
      </c>
      <c r="JY37" s="81">
        <f t="shared" si="74"/>
        <v>452520.36900386569</v>
      </c>
      <c r="JZ37" s="81">
        <f t="shared" si="74"/>
        <v>452520.36900386569</v>
      </c>
      <c r="KA37" s="81">
        <f t="shared" si="74"/>
        <v>452520.36900386569</v>
      </c>
      <c r="KB37" s="81">
        <f t="shared" si="74"/>
        <v>452520.36900386569</v>
      </c>
      <c r="KC37" s="81">
        <f t="shared" si="74"/>
        <v>452520.36900386569</v>
      </c>
      <c r="KD37" s="81">
        <f t="shared" si="74"/>
        <v>452520.36900386569</v>
      </c>
      <c r="KE37" s="81">
        <f t="shared" si="74"/>
        <v>452520.36900386569</v>
      </c>
      <c r="KF37" s="81">
        <f t="shared" si="74"/>
        <v>452520.36900386569</v>
      </c>
      <c r="KG37" s="81">
        <f t="shared" si="74"/>
        <v>452520.36900386569</v>
      </c>
      <c r="KH37" s="81">
        <f t="shared" ref="KH37:KS37" si="75">$AD27/12</f>
        <v>482599.06543677649</v>
      </c>
      <c r="KI37" s="81">
        <f t="shared" si="75"/>
        <v>482599.06543677649</v>
      </c>
      <c r="KJ37" s="81">
        <f t="shared" si="75"/>
        <v>482599.06543677649</v>
      </c>
      <c r="KK37" s="81">
        <f t="shared" si="75"/>
        <v>482599.06543677649</v>
      </c>
      <c r="KL37" s="81">
        <f t="shared" si="75"/>
        <v>482599.06543677649</v>
      </c>
      <c r="KM37" s="81">
        <f t="shared" si="75"/>
        <v>482599.06543677649</v>
      </c>
      <c r="KN37" s="81">
        <f t="shared" si="75"/>
        <v>482599.06543677649</v>
      </c>
      <c r="KO37" s="81">
        <f t="shared" si="75"/>
        <v>482599.06543677649</v>
      </c>
      <c r="KP37" s="81">
        <f t="shared" si="75"/>
        <v>482599.06543677649</v>
      </c>
      <c r="KQ37" s="81">
        <f t="shared" si="75"/>
        <v>482599.06543677649</v>
      </c>
      <c r="KR37" s="81">
        <f t="shared" si="75"/>
        <v>482599.06543677649</v>
      </c>
      <c r="KS37" s="81">
        <f t="shared" si="75"/>
        <v>482599.06543677649</v>
      </c>
    </row>
    <row r="38" spans="1:305">
      <c r="A38" s="74"/>
      <c r="B38" s="37" t="s">
        <v>178</v>
      </c>
      <c r="C38" s="37"/>
      <c r="D38" s="75"/>
      <c r="E38" s="40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</row>
    <row r="39" spans="1:305">
      <c r="A39" s="77"/>
      <c r="B39" s="78" t="s">
        <v>5</v>
      </c>
      <c r="C39" s="37"/>
      <c r="D39" s="79"/>
      <c r="E39" s="80"/>
      <c r="F39" s="83">
        <f>SUM(F35:F37)</f>
        <v>2002182.81808271</v>
      </c>
      <c r="G39" s="83">
        <f>SUM(G35:G37)</f>
        <v>2002182.81808271</v>
      </c>
      <c r="H39" s="83">
        <f t="shared" ref="H39:BS39" si="76">SUM(H35:H37)</f>
        <v>2002182.81808271</v>
      </c>
      <c r="I39" s="83">
        <f t="shared" si="76"/>
        <v>2002182.81808271</v>
      </c>
      <c r="J39" s="83">
        <f t="shared" si="76"/>
        <v>2002182.81808271</v>
      </c>
      <c r="K39" s="83">
        <f t="shared" si="76"/>
        <v>2002182.81808271</v>
      </c>
      <c r="L39" s="83">
        <f t="shared" si="76"/>
        <v>2002182.81808271</v>
      </c>
      <c r="M39" s="83">
        <f t="shared" si="76"/>
        <v>2002182.81808271</v>
      </c>
      <c r="N39" s="83">
        <f t="shared" si="76"/>
        <v>2002182.81808271</v>
      </c>
      <c r="O39" s="83">
        <f t="shared" si="76"/>
        <v>2002182.81808271</v>
      </c>
      <c r="P39" s="83">
        <f t="shared" si="76"/>
        <v>2002182.81808271</v>
      </c>
      <c r="Q39" s="83">
        <f t="shared" si="76"/>
        <v>2002182.81808271</v>
      </c>
      <c r="R39" s="83">
        <f t="shared" si="76"/>
        <v>2134261.3435637848</v>
      </c>
      <c r="S39" s="83">
        <f t="shared" si="76"/>
        <v>2134261.3435637848</v>
      </c>
      <c r="T39" s="83">
        <f t="shared" si="76"/>
        <v>2134261.3435637848</v>
      </c>
      <c r="U39" s="83">
        <f t="shared" si="76"/>
        <v>2134261.3435637848</v>
      </c>
      <c r="V39" s="83">
        <f t="shared" si="76"/>
        <v>2134261.3435637848</v>
      </c>
      <c r="W39" s="83">
        <f t="shared" si="76"/>
        <v>2134261.3435637848</v>
      </c>
      <c r="X39" s="83">
        <f t="shared" si="76"/>
        <v>2134261.3435637848</v>
      </c>
      <c r="Y39" s="83">
        <f t="shared" si="76"/>
        <v>2134261.3435637848</v>
      </c>
      <c r="Z39" s="83">
        <f t="shared" si="76"/>
        <v>2134261.3435637848</v>
      </c>
      <c r="AA39" s="83">
        <f t="shared" si="76"/>
        <v>2134261.3435637848</v>
      </c>
      <c r="AB39" s="83">
        <f t="shared" si="76"/>
        <v>2134261.3435637848</v>
      </c>
      <c r="AC39" s="83">
        <f t="shared" si="76"/>
        <v>2134261.3435637848</v>
      </c>
      <c r="AD39" s="83">
        <f t="shared" si="76"/>
        <v>2275052.8803043598</v>
      </c>
      <c r="AE39" s="83">
        <f t="shared" si="76"/>
        <v>2275052.8803043598</v>
      </c>
      <c r="AF39" s="83">
        <f t="shared" si="76"/>
        <v>2275052.8803043598</v>
      </c>
      <c r="AG39" s="83">
        <f t="shared" si="76"/>
        <v>2275052.8803043598</v>
      </c>
      <c r="AH39" s="83">
        <f t="shared" si="76"/>
        <v>2275052.8803043598</v>
      </c>
      <c r="AI39" s="83">
        <f t="shared" si="76"/>
        <v>2275052.8803043598</v>
      </c>
      <c r="AJ39" s="83">
        <f t="shared" si="76"/>
        <v>2275052.8803043598</v>
      </c>
      <c r="AK39" s="83">
        <f t="shared" si="76"/>
        <v>2275052.8803043598</v>
      </c>
      <c r="AL39" s="83">
        <f t="shared" si="76"/>
        <v>2275052.8803043598</v>
      </c>
      <c r="AM39" s="83">
        <f t="shared" si="76"/>
        <v>2275052.8803043598</v>
      </c>
      <c r="AN39" s="83">
        <f t="shared" si="76"/>
        <v>2275052.8803043598</v>
      </c>
      <c r="AO39" s="83">
        <f t="shared" si="76"/>
        <v>2275052.8803043598</v>
      </c>
      <c r="AP39" s="83">
        <f t="shared" si="76"/>
        <v>2425131.7393395491</v>
      </c>
      <c r="AQ39" s="83">
        <f t="shared" si="76"/>
        <v>2425131.7393395491</v>
      </c>
      <c r="AR39" s="83">
        <f t="shared" si="76"/>
        <v>2425131.7393395491</v>
      </c>
      <c r="AS39" s="83">
        <f t="shared" si="76"/>
        <v>2425131.7393395491</v>
      </c>
      <c r="AT39" s="83">
        <f t="shared" si="76"/>
        <v>2425131.7393395491</v>
      </c>
      <c r="AU39" s="83">
        <f t="shared" si="76"/>
        <v>2425131.7393395491</v>
      </c>
      <c r="AV39" s="83">
        <f t="shared" si="76"/>
        <v>2425131.7393395491</v>
      </c>
      <c r="AW39" s="83">
        <f t="shared" si="76"/>
        <v>2425131.7393395491</v>
      </c>
      <c r="AX39" s="83">
        <f t="shared" si="76"/>
        <v>2425131.7393395491</v>
      </c>
      <c r="AY39" s="83">
        <f t="shared" si="76"/>
        <v>2425131.7393395491</v>
      </c>
      <c r="AZ39" s="83">
        <f t="shared" si="76"/>
        <v>2425131.7393395491</v>
      </c>
      <c r="BA39" s="83">
        <f t="shared" si="76"/>
        <v>2425131.7393395491</v>
      </c>
      <c r="BB39" s="83">
        <f t="shared" si="76"/>
        <v>2585111.1886901436</v>
      </c>
      <c r="BC39" s="83">
        <f t="shared" si="76"/>
        <v>2585111.1886901436</v>
      </c>
      <c r="BD39" s="83">
        <f t="shared" si="76"/>
        <v>2585111.1886901436</v>
      </c>
      <c r="BE39" s="83">
        <f t="shared" si="76"/>
        <v>2585111.1886901436</v>
      </c>
      <c r="BF39" s="83">
        <f t="shared" si="76"/>
        <v>2585111.1886901436</v>
      </c>
      <c r="BG39" s="83">
        <f t="shared" si="76"/>
        <v>2585111.1886901436</v>
      </c>
      <c r="BH39" s="83">
        <f t="shared" si="76"/>
        <v>2585111.1886901436</v>
      </c>
      <c r="BI39" s="83">
        <f t="shared" si="76"/>
        <v>2585111.1886901436</v>
      </c>
      <c r="BJ39" s="83">
        <f t="shared" si="76"/>
        <v>2585111.1886901436</v>
      </c>
      <c r="BK39" s="83">
        <f t="shared" si="76"/>
        <v>2585111.1886901436</v>
      </c>
      <c r="BL39" s="83">
        <f t="shared" si="76"/>
        <v>2585111.1886901436</v>
      </c>
      <c r="BM39" s="83">
        <f t="shared" si="76"/>
        <v>2585111.1886901436</v>
      </c>
      <c r="BN39" s="83">
        <f t="shared" si="76"/>
        <v>2755644.2098974967</v>
      </c>
      <c r="BO39" s="83">
        <f t="shared" si="76"/>
        <v>2755644.2098974967</v>
      </c>
      <c r="BP39" s="83">
        <f t="shared" si="76"/>
        <v>2755644.2098974967</v>
      </c>
      <c r="BQ39" s="83">
        <f t="shared" si="76"/>
        <v>2755644.2098974967</v>
      </c>
      <c r="BR39" s="83">
        <f t="shared" si="76"/>
        <v>2755644.2098974967</v>
      </c>
      <c r="BS39" s="83">
        <f t="shared" si="76"/>
        <v>2755644.2098974967</v>
      </c>
      <c r="BT39" s="83">
        <f t="shared" ref="BT39:EE39" si="77">SUM(BT35:BT37)</f>
        <v>2755644.2098974967</v>
      </c>
      <c r="BU39" s="83">
        <f t="shared" si="77"/>
        <v>2755644.2098974967</v>
      </c>
      <c r="BV39" s="83">
        <f t="shared" si="77"/>
        <v>2755644.2098974967</v>
      </c>
      <c r="BW39" s="83">
        <f t="shared" si="77"/>
        <v>2755644.2098974967</v>
      </c>
      <c r="BX39" s="83">
        <f t="shared" si="77"/>
        <v>2755644.2098974967</v>
      </c>
      <c r="BY39" s="83">
        <f t="shared" si="77"/>
        <v>2755644.2098974967</v>
      </c>
      <c r="BZ39" s="83">
        <f t="shared" si="77"/>
        <v>2937426.3573919595</v>
      </c>
      <c r="CA39" s="83">
        <f t="shared" si="77"/>
        <v>2937426.3573919595</v>
      </c>
      <c r="CB39" s="83">
        <f t="shared" si="77"/>
        <v>2937426.3573919595</v>
      </c>
      <c r="CC39" s="83">
        <f t="shared" si="77"/>
        <v>2937426.3573919595</v>
      </c>
      <c r="CD39" s="83">
        <f t="shared" si="77"/>
        <v>2937426.3573919595</v>
      </c>
      <c r="CE39" s="83">
        <f t="shared" si="77"/>
        <v>2937426.3573919595</v>
      </c>
      <c r="CF39" s="83">
        <f t="shared" si="77"/>
        <v>2937426.3573919595</v>
      </c>
      <c r="CG39" s="83">
        <f t="shared" si="77"/>
        <v>2937426.3573919595</v>
      </c>
      <c r="CH39" s="83">
        <f t="shared" si="77"/>
        <v>2937426.3573919595</v>
      </c>
      <c r="CI39" s="83">
        <f t="shared" si="77"/>
        <v>2937426.3573919595</v>
      </c>
      <c r="CJ39" s="83">
        <f t="shared" si="77"/>
        <v>2937426.3573919595</v>
      </c>
      <c r="CK39" s="83">
        <f t="shared" si="77"/>
        <v>2937426.3573919595</v>
      </c>
      <c r="CL39" s="83">
        <f t="shared" si="77"/>
        <v>3131200.9158379617</v>
      </c>
      <c r="CM39" s="83">
        <f t="shared" si="77"/>
        <v>3131200.9158379617</v>
      </c>
      <c r="CN39" s="83">
        <f t="shared" si="77"/>
        <v>3131200.9158379617</v>
      </c>
      <c r="CO39" s="83">
        <f t="shared" si="77"/>
        <v>3131200.9158379617</v>
      </c>
      <c r="CP39" s="83">
        <f t="shared" si="77"/>
        <v>3131200.9158379617</v>
      </c>
      <c r="CQ39" s="83">
        <f t="shared" si="77"/>
        <v>3131200.9158379617</v>
      </c>
      <c r="CR39" s="83">
        <f t="shared" si="77"/>
        <v>3131200.9158379617</v>
      </c>
      <c r="CS39" s="83">
        <f t="shared" si="77"/>
        <v>3131200.9158379617</v>
      </c>
      <c r="CT39" s="83">
        <f t="shared" si="77"/>
        <v>3131200.9158379617</v>
      </c>
      <c r="CU39" s="83">
        <f t="shared" si="77"/>
        <v>3131200.9158379617</v>
      </c>
      <c r="CV39" s="83">
        <f t="shared" si="77"/>
        <v>3131200.9158379617</v>
      </c>
      <c r="CW39" s="83">
        <f t="shared" si="77"/>
        <v>3131200.9158379617</v>
      </c>
      <c r="CX39" s="83">
        <f t="shared" si="77"/>
        <v>3337757.8485817919</v>
      </c>
      <c r="CY39" s="83">
        <f t="shared" si="77"/>
        <v>3337757.8485817919</v>
      </c>
      <c r="CZ39" s="83">
        <f t="shared" si="77"/>
        <v>3337757.8485817919</v>
      </c>
      <c r="DA39" s="83">
        <f t="shared" si="77"/>
        <v>3337757.8485817919</v>
      </c>
      <c r="DB39" s="83">
        <f t="shared" si="77"/>
        <v>3337757.8485817919</v>
      </c>
      <c r="DC39" s="83">
        <f t="shared" si="77"/>
        <v>3337757.8485817919</v>
      </c>
      <c r="DD39" s="83">
        <f t="shared" si="77"/>
        <v>3337757.8485817919</v>
      </c>
      <c r="DE39" s="83">
        <f t="shared" si="77"/>
        <v>3337757.8485817919</v>
      </c>
      <c r="DF39" s="83">
        <f t="shared" si="77"/>
        <v>3337757.8485817919</v>
      </c>
      <c r="DG39" s="83">
        <f t="shared" si="77"/>
        <v>3337757.8485817919</v>
      </c>
      <c r="DH39" s="83">
        <f t="shared" si="77"/>
        <v>3337757.8485817919</v>
      </c>
      <c r="DI39" s="83">
        <f t="shared" si="77"/>
        <v>3337757.8485817919</v>
      </c>
      <c r="DJ39" s="83">
        <f t="shared" si="77"/>
        <v>3557941.0291521489</v>
      </c>
      <c r="DK39" s="83">
        <f t="shared" si="77"/>
        <v>3557941.0291521489</v>
      </c>
      <c r="DL39" s="83">
        <f t="shared" si="77"/>
        <v>3557941.0291521489</v>
      </c>
      <c r="DM39" s="83">
        <f t="shared" si="77"/>
        <v>3557941.0291521489</v>
      </c>
      <c r="DN39" s="83">
        <f t="shared" si="77"/>
        <v>3557941.0291521489</v>
      </c>
      <c r="DO39" s="83">
        <f t="shared" si="77"/>
        <v>3557941.0291521489</v>
      </c>
      <c r="DP39" s="83">
        <f t="shared" si="77"/>
        <v>3557941.0291521489</v>
      </c>
      <c r="DQ39" s="83">
        <f t="shared" si="77"/>
        <v>3557941.0291521489</v>
      </c>
      <c r="DR39" s="83">
        <f t="shared" si="77"/>
        <v>3557941.0291521489</v>
      </c>
      <c r="DS39" s="83">
        <f t="shared" si="77"/>
        <v>3557941.0291521489</v>
      </c>
      <c r="DT39" s="83">
        <f t="shared" si="77"/>
        <v>3557941.0291521489</v>
      </c>
      <c r="DU39" s="83">
        <f t="shared" si="77"/>
        <v>3557941.0291521489</v>
      </c>
      <c r="DV39" s="83">
        <f t="shared" si="77"/>
        <v>3792648.4670807486</v>
      </c>
      <c r="DW39" s="83">
        <f t="shared" si="77"/>
        <v>3792648.4670807486</v>
      </c>
      <c r="DX39" s="83">
        <f t="shared" si="77"/>
        <v>3792648.4670807486</v>
      </c>
      <c r="DY39" s="83">
        <f t="shared" si="77"/>
        <v>3792648.4670807486</v>
      </c>
      <c r="DZ39" s="83">
        <f t="shared" si="77"/>
        <v>3792648.4670807486</v>
      </c>
      <c r="EA39" s="83">
        <f t="shared" si="77"/>
        <v>3792648.4670807486</v>
      </c>
      <c r="EB39" s="83">
        <f t="shared" si="77"/>
        <v>3792648.4670807486</v>
      </c>
      <c r="EC39" s="83">
        <f t="shared" si="77"/>
        <v>3792648.4670807486</v>
      </c>
      <c r="ED39" s="83">
        <f t="shared" si="77"/>
        <v>3792648.4670807486</v>
      </c>
      <c r="EE39" s="83">
        <f t="shared" si="77"/>
        <v>3792648.4670807486</v>
      </c>
      <c r="EF39" s="83">
        <f t="shared" ref="EF39:GQ39" si="78">SUM(EF35:EF37)</f>
        <v>3792648.4670807486</v>
      </c>
      <c r="EG39" s="83">
        <f t="shared" si="78"/>
        <v>3792648.4670807486</v>
      </c>
      <c r="EH39" s="83">
        <f t="shared" si="78"/>
        <v>4042839.6307373322</v>
      </c>
      <c r="EI39" s="83">
        <f t="shared" si="78"/>
        <v>4042839.6307373322</v>
      </c>
      <c r="EJ39" s="83">
        <f t="shared" si="78"/>
        <v>4042839.6307373322</v>
      </c>
      <c r="EK39" s="83">
        <f t="shared" si="78"/>
        <v>4042839.6307373322</v>
      </c>
      <c r="EL39" s="83">
        <f t="shared" si="78"/>
        <v>4042839.6307373322</v>
      </c>
      <c r="EM39" s="83">
        <f t="shared" si="78"/>
        <v>4042839.6307373322</v>
      </c>
      <c r="EN39" s="83">
        <f t="shared" si="78"/>
        <v>4042839.6307373322</v>
      </c>
      <c r="EO39" s="83">
        <f t="shared" si="78"/>
        <v>4042839.6307373322</v>
      </c>
      <c r="EP39" s="83">
        <f t="shared" si="78"/>
        <v>4042839.6307373322</v>
      </c>
      <c r="EQ39" s="83">
        <f t="shared" si="78"/>
        <v>4042839.6307373322</v>
      </c>
      <c r="ER39" s="83">
        <f t="shared" si="78"/>
        <v>4042839.6307373322</v>
      </c>
      <c r="ES39" s="83">
        <f t="shared" si="78"/>
        <v>4042839.6307373322</v>
      </c>
      <c r="ET39" s="83">
        <f t="shared" si="78"/>
        <v>4309535.2115448313</v>
      </c>
      <c r="EU39" s="83">
        <f t="shared" si="78"/>
        <v>4309535.2115448313</v>
      </c>
      <c r="EV39" s="83">
        <f t="shared" si="78"/>
        <v>4309535.2115448313</v>
      </c>
      <c r="EW39" s="83">
        <f t="shared" si="78"/>
        <v>4309535.2115448313</v>
      </c>
      <c r="EX39" s="83">
        <f t="shared" si="78"/>
        <v>4309535.2115448313</v>
      </c>
      <c r="EY39" s="83">
        <f t="shared" si="78"/>
        <v>4309535.2115448313</v>
      </c>
      <c r="EZ39" s="83">
        <f t="shared" si="78"/>
        <v>4309535.2115448313</v>
      </c>
      <c r="FA39" s="83">
        <f t="shared" si="78"/>
        <v>4309535.2115448313</v>
      </c>
      <c r="FB39" s="83">
        <f t="shared" si="78"/>
        <v>4309535.2115448313</v>
      </c>
      <c r="FC39" s="83">
        <f t="shared" si="78"/>
        <v>4309535.2115448313</v>
      </c>
      <c r="FD39" s="83">
        <f t="shared" si="78"/>
        <v>4309535.2115448313</v>
      </c>
      <c r="FE39" s="83">
        <f t="shared" si="78"/>
        <v>4309535.2115448313</v>
      </c>
      <c r="FF39" s="83">
        <f t="shared" si="78"/>
        <v>4593824.568400098</v>
      </c>
      <c r="FG39" s="83">
        <f t="shared" si="78"/>
        <v>4593824.568400098</v>
      </c>
      <c r="FH39" s="83">
        <f t="shared" si="78"/>
        <v>4593824.568400098</v>
      </c>
      <c r="FI39" s="83">
        <f t="shared" si="78"/>
        <v>4593824.568400098</v>
      </c>
      <c r="FJ39" s="83">
        <f t="shared" si="78"/>
        <v>4593824.568400098</v>
      </c>
      <c r="FK39" s="83">
        <f t="shared" si="78"/>
        <v>4593824.568400098</v>
      </c>
      <c r="FL39" s="83">
        <f t="shared" si="78"/>
        <v>4593824.568400098</v>
      </c>
      <c r="FM39" s="83">
        <f t="shared" si="78"/>
        <v>4593824.568400098</v>
      </c>
      <c r="FN39" s="83">
        <f t="shared" si="78"/>
        <v>4593824.568400098</v>
      </c>
      <c r="FO39" s="83">
        <f t="shared" si="78"/>
        <v>4593824.568400098</v>
      </c>
      <c r="FP39" s="83">
        <f t="shared" si="78"/>
        <v>4593824.568400098</v>
      </c>
      <c r="FQ39" s="83">
        <f t="shared" si="78"/>
        <v>4593824.568400098</v>
      </c>
      <c r="FR39" s="83">
        <f t="shared" si="78"/>
        <v>4896866.8264204022</v>
      </c>
      <c r="FS39" s="83">
        <f t="shared" si="78"/>
        <v>4896866.8264204022</v>
      </c>
      <c r="FT39" s="83">
        <f t="shared" si="78"/>
        <v>4896866.8264204022</v>
      </c>
      <c r="FU39" s="83">
        <f t="shared" si="78"/>
        <v>4896866.8264204022</v>
      </c>
      <c r="FV39" s="83">
        <f t="shared" si="78"/>
        <v>4896866.8264204022</v>
      </c>
      <c r="FW39" s="83">
        <f t="shared" si="78"/>
        <v>4896866.8264204022</v>
      </c>
      <c r="FX39" s="83">
        <f t="shared" si="78"/>
        <v>4896866.8264204022</v>
      </c>
      <c r="FY39" s="83">
        <f t="shared" si="78"/>
        <v>4896866.8264204022</v>
      </c>
      <c r="FZ39" s="83">
        <f t="shared" si="78"/>
        <v>4896866.8264204022</v>
      </c>
      <c r="GA39" s="83">
        <f t="shared" si="78"/>
        <v>4896866.8264204022</v>
      </c>
      <c r="GB39" s="83">
        <f t="shared" si="78"/>
        <v>4896866.8264204022</v>
      </c>
      <c r="GC39" s="83">
        <f t="shared" si="78"/>
        <v>4896866.8264204022</v>
      </c>
      <c r="GD39" s="83">
        <f t="shared" si="78"/>
        <v>5219900.1673131259</v>
      </c>
      <c r="GE39" s="83">
        <f t="shared" si="78"/>
        <v>5219900.1673131259</v>
      </c>
      <c r="GF39" s="83">
        <f t="shared" si="78"/>
        <v>5219900.1673131259</v>
      </c>
      <c r="GG39" s="83">
        <f t="shared" si="78"/>
        <v>5219900.1673131259</v>
      </c>
      <c r="GH39" s="83">
        <f t="shared" si="78"/>
        <v>5219900.1673131259</v>
      </c>
      <c r="GI39" s="83">
        <f t="shared" si="78"/>
        <v>5219900.1673131259</v>
      </c>
      <c r="GJ39" s="83">
        <f t="shared" si="78"/>
        <v>5219900.1673131259</v>
      </c>
      <c r="GK39" s="83">
        <f t="shared" si="78"/>
        <v>5219900.1673131259</v>
      </c>
      <c r="GL39" s="83">
        <f t="shared" si="78"/>
        <v>5219900.1673131259</v>
      </c>
      <c r="GM39" s="83">
        <f t="shared" si="78"/>
        <v>5219900.1673131259</v>
      </c>
      <c r="GN39" s="83">
        <f t="shared" si="78"/>
        <v>5219900.1673131259</v>
      </c>
      <c r="GO39" s="83">
        <f t="shared" si="78"/>
        <v>5219900.1673131259</v>
      </c>
      <c r="GP39" s="83">
        <f t="shared" si="78"/>
        <v>5564244.0351550933</v>
      </c>
      <c r="GQ39" s="83">
        <f t="shared" si="78"/>
        <v>5564244.0351550933</v>
      </c>
      <c r="GR39" s="83">
        <f t="shared" ref="GR39:JC39" si="79">SUM(GR35:GR37)</f>
        <v>5564244.0351550933</v>
      </c>
      <c r="GS39" s="83">
        <f t="shared" si="79"/>
        <v>5564244.0351550933</v>
      </c>
      <c r="GT39" s="83">
        <f t="shared" si="79"/>
        <v>5564244.0351550933</v>
      </c>
      <c r="GU39" s="83">
        <f t="shared" si="79"/>
        <v>5564244.0351550933</v>
      </c>
      <c r="GV39" s="83">
        <f t="shared" si="79"/>
        <v>5564244.0351550933</v>
      </c>
      <c r="GW39" s="83">
        <f t="shared" si="79"/>
        <v>5564244.0351550933</v>
      </c>
      <c r="GX39" s="83">
        <f t="shared" si="79"/>
        <v>5564244.0351550933</v>
      </c>
      <c r="GY39" s="83">
        <f t="shared" si="79"/>
        <v>5564244.0351550933</v>
      </c>
      <c r="GZ39" s="83">
        <f t="shared" si="79"/>
        <v>5564244.0351550933</v>
      </c>
      <c r="HA39" s="83">
        <f t="shared" si="79"/>
        <v>5564244.0351550933</v>
      </c>
      <c r="HB39" s="83">
        <f t="shared" si="79"/>
        <v>5931303.1025621025</v>
      </c>
      <c r="HC39" s="83">
        <f t="shared" si="79"/>
        <v>5931303.1025621025</v>
      </c>
      <c r="HD39" s="83">
        <f t="shared" si="79"/>
        <v>5931303.1025621025</v>
      </c>
      <c r="HE39" s="83">
        <f t="shared" si="79"/>
        <v>5931303.1025621025</v>
      </c>
      <c r="HF39" s="83">
        <f t="shared" si="79"/>
        <v>5931303.1025621025</v>
      </c>
      <c r="HG39" s="83">
        <f t="shared" si="79"/>
        <v>5931303.1025621025</v>
      </c>
      <c r="HH39" s="83">
        <f t="shared" si="79"/>
        <v>5931303.1025621025</v>
      </c>
      <c r="HI39" s="83">
        <f t="shared" si="79"/>
        <v>5931303.1025621025</v>
      </c>
      <c r="HJ39" s="83">
        <f t="shared" si="79"/>
        <v>5931303.1025621025</v>
      </c>
      <c r="HK39" s="83">
        <f t="shared" si="79"/>
        <v>5931303.1025621025</v>
      </c>
      <c r="HL39" s="83">
        <f t="shared" si="79"/>
        <v>5931303.1025621025</v>
      </c>
      <c r="HM39" s="83">
        <f t="shared" si="79"/>
        <v>5931303.1025621025</v>
      </c>
      <c r="HN39" s="83">
        <f t="shared" si="79"/>
        <v>6322575.9075601716</v>
      </c>
      <c r="HO39" s="83">
        <f t="shared" si="79"/>
        <v>6322575.9075601716</v>
      </c>
      <c r="HP39" s="83">
        <f t="shared" si="79"/>
        <v>6322575.9075601716</v>
      </c>
      <c r="HQ39" s="83">
        <f t="shared" si="79"/>
        <v>6322575.9075601716</v>
      </c>
      <c r="HR39" s="83">
        <f t="shared" si="79"/>
        <v>6322575.9075601716</v>
      </c>
      <c r="HS39" s="83">
        <f t="shared" si="79"/>
        <v>6322575.9075601716</v>
      </c>
      <c r="HT39" s="83">
        <f t="shared" si="79"/>
        <v>6322575.9075601716</v>
      </c>
      <c r="HU39" s="83">
        <f t="shared" si="79"/>
        <v>6322575.9075601716</v>
      </c>
      <c r="HV39" s="83">
        <f t="shared" si="79"/>
        <v>6322575.9075601716</v>
      </c>
      <c r="HW39" s="83">
        <f t="shared" si="79"/>
        <v>6322575.9075601716</v>
      </c>
      <c r="HX39" s="83">
        <f t="shared" si="79"/>
        <v>6322575.9075601716</v>
      </c>
      <c r="HY39" s="83">
        <f t="shared" si="79"/>
        <v>6322575.9075601716</v>
      </c>
      <c r="HZ39" s="83">
        <f t="shared" si="79"/>
        <v>6739661.2081960188</v>
      </c>
      <c r="IA39" s="83">
        <f t="shared" si="79"/>
        <v>6739661.2081960188</v>
      </c>
      <c r="IB39" s="83">
        <f t="shared" si="79"/>
        <v>6739661.2081960188</v>
      </c>
      <c r="IC39" s="83">
        <f t="shared" si="79"/>
        <v>6739661.2081960188</v>
      </c>
      <c r="ID39" s="83">
        <f t="shared" si="79"/>
        <v>6739661.2081960188</v>
      </c>
      <c r="IE39" s="83">
        <f t="shared" si="79"/>
        <v>6739661.2081960188</v>
      </c>
      <c r="IF39" s="83">
        <f t="shared" si="79"/>
        <v>6739661.2081960188</v>
      </c>
      <c r="IG39" s="83">
        <f t="shared" si="79"/>
        <v>6739661.2081960188</v>
      </c>
      <c r="IH39" s="83">
        <f t="shared" si="79"/>
        <v>6739661.2081960188</v>
      </c>
      <c r="II39" s="83">
        <f t="shared" si="79"/>
        <v>6739661.2081960188</v>
      </c>
      <c r="IJ39" s="83">
        <f t="shared" si="79"/>
        <v>6739661.2081960188</v>
      </c>
      <c r="IK39" s="83">
        <f t="shared" si="79"/>
        <v>6739661.2081960188</v>
      </c>
      <c r="IL39" s="83">
        <f t="shared" si="79"/>
        <v>7184259.0133209052</v>
      </c>
      <c r="IM39" s="83">
        <f t="shared" si="79"/>
        <v>7184259.0133209052</v>
      </c>
      <c r="IN39" s="83">
        <f t="shared" si="79"/>
        <v>7184259.0133209052</v>
      </c>
      <c r="IO39" s="83">
        <f t="shared" si="79"/>
        <v>7184259.0133209052</v>
      </c>
      <c r="IP39" s="83">
        <f t="shared" si="79"/>
        <v>7184259.0133209052</v>
      </c>
      <c r="IQ39" s="83">
        <f t="shared" si="79"/>
        <v>7184259.0133209052</v>
      </c>
      <c r="IR39" s="83">
        <f t="shared" si="79"/>
        <v>7184259.0133209052</v>
      </c>
      <c r="IS39" s="83">
        <f t="shared" si="79"/>
        <v>7184259.0133209052</v>
      </c>
      <c r="IT39" s="83">
        <f t="shared" si="79"/>
        <v>7184259.0133209052</v>
      </c>
      <c r="IU39" s="83">
        <f t="shared" si="79"/>
        <v>7184259.0133209052</v>
      </c>
      <c r="IV39" s="83">
        <f t="shared" si="79"/>
        <v>7184259.0133209052</v>
      </c>
      <c r="IW39" s="83">
        <f t="shared" si="79"/>
        <v>7184259.0133209052</v>
      </c>
      <c r="IX39" s="83">
        <f t="shared" si="79"/>
        <v>7658187.1570373019</v>
      </c>
      <c r="IY39" s="83">
        <f t="shared" si="79"/>
        <v>7658187.1570373019</v>
      </c>
      <c r="IZ39" s="83">
        <f t="shared" si="79"/>
        <v>7658187.1570373019</v>
      </c>
      <c r="JA39" s="83">
        <f t="shared" si="79"/>
        <v>7658187.1570373019</v>
      </c>
      <c r="JB39" s="83">
        <f t="shared" si="79"/>
        <v>7658187.1570373019</v>
      </c>
      <c r="JC39" s="83">
        <f t="shared" si="79"/>
        <v>7658187.1570373019</v>
      </c>
      <c r="JD39" s="83">
        <f t="shared" ref="JD39:KS39" si="80">SUM(JD35:JD37)</f>
        <v>7658187.1570373019</v>
      </c>
      <c r="JE39" s="83">
        <f t="shared" si="80"/>
        <v>7658187.1570373019</v>
      </c>
      <c r="JF39" s="83">
        <f t="shared" si="80"/>
        <v>7658187.1570373019</v>
      </c>
      <c r="JG39" s="83">
        <f t="shared" si="80"/>
        <v>7658187.1570373019</v>
      </c>
      <c r="JH39" s="83">
        <f t="shared" si="80"/>
        <v>7658187.1570373019</v>
      </c>
      <c r="JI39" s="83">
        <f t="shared" si="80"/>
        <v>7658187.1570373019</v>
      </c>
      <c r="JJ39" s="83">
        <f t="shared" si="80"/>
        <v>8163378.1997028096</v>
      </c>
      <c r="JK39" s="83">
        <f t="shared" si="80"/>
        <v>8163378.1997028096</v>
      </c>
      <c r="JL39" s="83">
        <f t="shared" si="80"/>
        <v>8163378.1997028096</v>
      </c>
      <c r="JM39" s="83">
        <f t="shared" si="80"/>
        <v>8163378.1997028096</v>
      </c>
      <c r="JN39" s="83">
        <f t="shared" si="80"/>
        <v>8163378.1997028096</v>
      </c>
      <c r="JO39" s="83">
        <f t="shared" si="80"/>
        <v>8163378.1997028096</v>
      </c>
      <c r="JP39" s="83">
        <f t="shared" si="80"/>
        <v>8163378.1997028096</v>
      </c>
      <c r="JQ39" s="83">
        <f t="shared" si="80"/>
        <v>8163378.1997028096</v>
      </c>
      <c r="JR39" s="83">
        <f t="shared" si="80"/>
        <v>8163378.1997028096</v>
      </c>
      <c r="JS39" s="83">
        <f t="shared" si="80"/>
        <v>8163378.1997028096</v>
      </c>
      <c r="JT39" s="83">
        <f t="shared" si="80"/>
        <v>8163378.1997028096</v>
      </c>
      <c r="JU39" s="83">
        <f t="shared" si="80"/>
        <v>8163378.1997028096</v>
      </c>
      <c r="JV39" s="83">
        <f t="shared" si="80"/>
        <v>8701896.2409552466</v>
      </c>
      <c r="JW39" s="83">
        <f t="shared" si="80"/>
        <v>8701896.2409552466</v>
      </c>
      <c r="JX39" s="83">
        <f t="shared" si="80"/>
        <v>8701896.2409552466</v>
      </c>
      <c r="JY39" s="83">
        <f t="shared" si="80"/>
        <v>8701896.2409552466</v>
      </c>
      <c r="JZ39" s="83">
        <f t="shared" si="80"/>
        <v>8701896.2409552466</v>
      </c>
      <c r="KA39" s="83">
        <f t="shared" si="80"/>
        <v>8701896.2409552466</v>
      </c>
      <c r="KB39" s="83">
        <f t="shared" si="80"/>
        <v>8701896.2409552466</v>
      </c>
      <c r="KC39" s="83">
        <f t="shared" si="80"/>
        <v>8701896.2409552466</v>
      </c>
      <c r="KD39" s="83">
        <f t="shared" si="80"/>
        <v>8701896.2409552466</v>
      </c>
      <c r="KE39" s="83">
        <f t="shared" si="80"/>
        <v>8701896.2409552466</v>
      </c>
      <c r="KF39" s="83">
        <f t="shared" si="80"/>
        <v>8701896.2409552466</v>
      </c>
      <c r="KG39" s="83">
        <f t="shared" si="80"/>
        <v>8701896.2409552466</v>
      </c>
      <c r="KH39" s="83">
        <f t="shared" si="80"/>
        <v>9275938.9283851385</v>
      </c>
      <c r="KI39" s="83">
        <f t="shared" si="80"/>
        <v>9275938.9283851385</v>
      </c>
      <c r="KJ39" s="83">
        <f t="shared" si="80"/>
        <v>9275938.9283851385</v>
      </c>
      <c r="KK39" s="83">
        <f t="shared" si="80"/>
        <v>9275938.9283851385</v>
      </c>
      <c r="KL39" s="83">
        <f t="shared" si="80"/>
        <v>9275938.9283851385</v>
      </c>
      <c r="KM39" s="83">
        <f t="shared" si="80"/>
        <v>9275938.9283851385</v>
      </c>
      <c r="KN39" s="83">
        <f t="shared" si="80"/>
        <v>9275938.9283851385</v>
      </c>
      <c r="KO39" s="83">
        <f t="shared" si="80"/>
        <v>9275938.9283851385</v>
      </c>
      <c r="KP39" s="83">
        <f t="shared" si="80"/>
        <v>9275938.9283851385</v>
      </c>
      <c r="KQ39" s="83">
        <f t="shared" si="80"/>
        <v>9275938.9283851385</v>
      </c>
      <c r="KR39" s="83">
        <f t="shared" si="80"/>
        <v>9275938.9283851385</v>
      </c>
      <c r="KS39" s="83">
        <f t="shared" si="80"/>
        <v>9275938.9283851385</v>
      </c>
    </row>
  </sheetData>
  <mergeCells count="32">
    <mergeCell ref="KH32:KS32"/>
    <mergeCell ref="KT32:LE32"/>
    <mergeCell ref="HZ32:IK32"/>
    <mergeCell ref="IL32:IW32"/>
    <mergeCell ref="IX32:JI32"/>
    <mergeCell ref="JJ32:JU32"/>
    <mergeCell ref="JV32:KG32"/>
    <mergeCell ref="FR32:GC32"/>
    <mergeCell ref="GD32:GO32"/>
    <mergeCell ref="GP32:HA32"/>
    <mergeCell ref="HB32:HM32"/>
    <mergeCell ref="HN32:HY32"/>
    <mergeCell ref="DJ32:DU32"/>
    <mergeCell ref="DV32:EG32"/>
    <mergeCell ref="EH32:ES32"/>
    <mergeCell ref="ET32:FE32"/>
    <mergeCell ref="FF32:FQ32"/>
    <mergeCell ref="BB32:BM32"/>
    <mergeCell ref="BN32:BY32"/>
    <mergeCell ref="BZ32:CK32"/>
    <mergeCell ref="CL32:CW32"/>
    <mergeCell ref="CX32:DI32"/>
    <mergeCell ref="B33:E33"/>
    <mergeCell ref="F32:Q32"/>
    <mergeCell ref="R32:AC32"/>
    <mergeCell ref="AD32:AO32"/>
    <mergeCell ref="AP32:BA32"/>
    <mergeCell ref="A1:R2"/>
    <mergeCell ref="F4:R4"/>
    <mergeCell ref="A3:B3"/>
    <mergeCell ref="B23:E23"/>
    <mergeCell ref="A18:C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4"/>
  <sheetViews>
    <sheetView topLeftCell="A85" workbookViewId="0">
      <selection activeCell="F88" sqref="F88"/>
    </sheetView>
  </sheetViews>
  <sheetFormatPr baseColWidth="10" defaultColWidth="8.83203125" defaultRowHeight="15"/>
  <cols>
    <col min="1" max="1" width="29.83203125" bestFit="1" customWidth="1"/>
    <col min="2" max="2" width="53.5" bestFit="1" customWidth="1"/>
    <col min="3" max="3" width="16" bestFit="1" customWidth="1"/>
    <col min="4" max="4" width="32.33203125" bestFit="1" customWidth="1"/>
    <col min="5" max="5" width="18" bestFit="1" customWidth="1"/>
    <col min="6" max="6" width="19.83203125" bestFit="1" customWidth="1"/>
    <col min="7" max="7" width="14.33203125" bestFit="1" customWidth="1"/>
    <col min="8" max="8" width="22" bestFit="1" customWidth="1"/>
    <col min="9" max="17" width="13.33203125" bestFit="1" customWidth="1"/>
    <col min="18" max="27" width="14.33203125" bestFit="1" customWidth="1"/>
  </cols>
  <sheetData>
    <row r="1" spans="1:8" ht="17" thickBot="1">
      <c r="A1" s="493" t="s">
        <v>590</v>
      </c>
      <c r="B1" s="494"/>
      <c r="C1" s="494"/>
      <c r="D1" s="494"/>
      <c r="E1" s="494"/>
      <c r="F1" s="494"/>
      <c r="G1" s="494"/>
      <c r="H1" s="495"/>
    </row>
    <row r="2" spans="1:8">
      <c r="A2" s="496" t="s">
        <v>591</v>
      </c>
      <c r="B2" s="496"/>
      <c r="C2" s="496"/>
      <c r="D2" s="496"/>
      <c r="E2" s="496"/>
      <c r="F2" s="496"/>
      <c r="G2" s="496"/>
      <c r="H2" s="311"/>
    </row>
    <row r="3" spans="1:8" ht="26">
      <c r="A3" s="312"/>
      <c r="B3" s="313" t="s">
        <v>592</v>
      </c>
      <c r="C3" s="313" t="s">
        <v>593</v>
      </c>
      <c r="D3" s="313" t="s">
        <v>594</v>
      </c>
      <c r="E3" s="314" t="s">
        <v>595</v>
      </c>
      <c r="F3" s="313" t="s">
        <v>596</v>
      </c>
      <c r="G3" s="315" t="s">
        <v>597</v>
      </c>
      <c r="H3" s="316" t="s">
        <v>598</v>
      </c>
    </row>
    <row r="4" spans="1:8">
      <c r="A4" s="317">
        <v>0</v>
      </c>
      <c r="B4" s="317">
        <v>10</v>
      </c>
      <c r="C4" s="317">
        <f>2*3.5</f>
        <v>7</v>
      </c>
      <c r="D4" s="318">
        <f>150/12</f>
        <v>12.5</v>
      </c>
      <c r="E4" s="319">
        <v>0.2</v>
      </c>
      <c r="F4" s="320">
        <f>'[3]Enc. sociais'!C28</f>
        <v>0.76045800000000008</v>
      </c>
      <c r="G4" s="319">
        <v>0.2</v>
      </c>
      <c r="H4" s="321">
        <v>25</v>
      </c>
    </row>
    <row r="5" spans="1:8">
      <c r="A5" s="322"/>
      <c r="B5" s="322"/>
      <c r="C5" s="323"/>
      <c r="D5" s="324"/>
      <c r="E5" s="311"/>
      <c r="F5" s="325"/>
      <c r="G5" s="311"/>
      <c r="H5" s="311"/>
    </row>
    <row r="6" spans="1:8">
      <c r="A6" s="392"/>
      <c r="B6" s="392"/>
      <c r="C6" s="323"/>
      <c r="D6" s="323"/>
      <c r="E6" s="323"/>
      <c r="F6" s="323"/>
      <c r="G6" s="311"/>
      <c r="H6" s="311"/>
    </row>
    <row r="7" spans="1:8">
      <c r="A7" s="326" t="s">
        <v>599</v>
      </c>
      <c r="B7" s="326" t="s">
        <v>600</v>
      </c>
      <c r="C7" s="326" t="s">
        <v>474</v>
      </c>
      <c r="D7" s="326" t="s">
        <v>601</v>
      </c>
      <c r="E7" s="326" t="s">
        <v>602</v>
      </c>
      <c r="F7" s="326" t="s">
        <v>603</v>
      </c>
      <c r="G7" s="326"/>
      <c r="H7" s="316" t="s">
        <v>604</v>
      </c>
    </row>
    <row r="8" spans="1:8">
      <c r="A8" s="327" t="s">
        <v>605</v>
      </c>
      <c r="B8" s="328">
        <v>2</v>
      </c>
      <c r="C8" s="324">
        <f>4000*1.2318</f>
        <v>4927.2</v>
      </c>
      <c r="D8" s="329">
        <f>((C8*$F$4)+(($B$4+$C$4)*$H$4)+$D$4)</f>
        <v>4184.4286576000004</v>
      </c>
      <c r="E8" s="324">
        <f>(C8+D8)*B8</f>
        <v>18223.2573152</v>
      </c>
      <c r="F8" s="324">
        <f>E8*12</f>
        <v>218679.08778240002</v>
      </c>
      <c r="G8" s="330"/>
      <c r="H8" s="311"/>
    </row>
    <row r="9" spans="1:8">
      <c r="A9" s="327" t="s">
        <v>606</v>
      </c>
      <c r="B9" s="328">
        <f>(E51+E63)*2</f>
        <v>4</v>
      </c>
      <c r="C9" s="324">
        <f>2500*1.2318</f>
        <v>3079.5</v>
      </c>
      <c r="D9" s="329">
        <f>((C9*$F$4)+(C9*$E$4*2/25*8))+(($B$4+$C$4)*$H$4)+$D$4</f>
        <v>3173.5064110000003</v>
      </c>
      <c r="E9" s="324">
        <f>(C9+D9)*B9</f>
        <v>25012.025644000001</v>
      </c>
      <c r="F9" s="324">
        <f>E9*12</f>
        <v>300144.30772799999</v>
      </c>
      <c r="G9" s="330"/>
      <c r="H9" s="311"/>
    </row>
    <row r="10" spans="1:8" ht="26">
      <c r="A10" s="331" t="s">
        <v>607</v>
      </c>
      <c r="B10" s="332">
        <f>(E41+E43)*2</f>
        <v>6</v>
      </c>
      <c r="C10" s="329">
        <f>$B$38*1.1</f>
        <v>1333.2</v>
      </c>
      <c r="D10" s="329">
        <f>((C10*$F$4)+(C10*$E$4*2/25*8))+(($B$4+$C$4)*$H$4)+$D$4</f>
        <v>1621.9922056000003</v>
      </c>
      <c r="E10" s="329">
        <f t="shared" ref="E10" si="0">(C10+D10)*B10</f>
        <v>17731.153233600002</v>
      </c>
      <c r="F10" s="329">
        <f t="shared" ref="F10" si="1">E10*12</f>
        <v>212773.83880320002</v>
      </c>
      <c r="G10" s="330"/>
      <c r="H10" s="311"/>
    </row>
    <row r="11" spans="1:8">
      <c r="A11" s="327" t="s">
        <v>608</v>
      </c>
      <c r="B11" s="328">
        <f>(E49+E61)*2</f>
        <v>4</v>
      </c>
      <c r="C11" s="329">
        <f>$B$38*1.1</f>
        <v>1333.2</v>
      </c>
      <c r="D11" s="329">
        <f>((C11*$F$4)+(C11*$E$4*2/25*8))+(($B$4+$C$4)*$H$4)+$D$4</f>
        <v>1621.9922056000003</v>
      </c>
      <c r="E11" s="324">
        <f>(C11+D11)*B11</f>
        <v>11820.768822400001</v>
      </c>
      <c r="F11" s="324">
        <f>E11*12</f>
        <v>141849.22586880001</v>
      </c>
      <c r="G11" s="330"/>
      <c r="H11" s="323"/>
    </row>
    <row r="12" spans="1:8">
      <c r="A12" s="327" t="s">
        <v>609</v>
      </c>
      <c r="B12" s="328">
        <f>((E53+E55+E58+E59+E60+E80+E72)*2+E57)*2</f>
        <v>178</v>
      </c>
      <c r="C12" s="329">
        <f>$B$38</f>
        <v>1212</v>
      </c>
      <c r="D12" s="329">
        <f>((C12*$F$4)+(C12*$G$4)+(C12*$E$4*2/25*8))+(($B$4+$C$4)*$H$4)+$D$4</f>
        <v>1756.711096</v>
      </c>
      <c r="E12" s="324">
        <f t="shared" ref="E12:E18" si="2">(C12+D12)*B12</f>
        <v>528430.57508800004</v>
      </c>
      <c r="F12" s="324">
        <f t="shared" ref="F12:F18" si="3">E12*12</f>
        <v>6341166.901056001</v>
      </c>
      <c r="G12" s="330"/>
      <c r="H12" s="323"/>
    </row>
    <row r="13" spans="1:8">
      <c r="A13" s="333" t="s">
        <v>610</v>
      </c>
      <c r="B13" s="328">
        <f>E62*2</f>
        <v>2</v>
      </c>
      <c r="C13" s="329">
        <f>2500*1.2318</f>
        <v>3079.5</v>
      </c>
      <c r="D13" s="329">
        <f t="shared" ref="D13:D18" si="4">((C13*$F$4)+(C13*$E$4*2/25*8))+(($B$4+$C$4)*$H$4)+$D$4</f>
        <v>3173.5064110000003</v>
      </c>
      <c r="E13" s="324">
        <f t="shared" si="2"/>
        <v>12506.012822000001</v>
      </c>
      <c r="F13" s="324">
        <f t="shared" si="3"/>
        <v>150072.15386399999</v>
      </c>
      <c r="G13" s="311"/>
      <c r="H13" s="323"/>
    </row>
    <row r="14" spans="1:8">
      <c r="A14" s="333" t="s">
        <v>611</v>
      </c>
      <c r="B14" s="328">
        <f>(E64+E65+E66+E67+E73+E74+E78+E79)*2</f>
        <v>18</v>
      </c>
      <c r="C14" s="329">
        <f>2300*1.2318</f>
        <v>2833.14</v>
      </c>
      <c r="D14" s="329">
        <f t="shared" si="4"/>
        <v>2954.6258981200003</v>
      </c>
      <c r="E14" s="324">
        <f t="shared" si="2"/>
        <v>104179.78616616</v>
      </c>
      <c r="F14" s="324">
        <f t="shared" si="3"/>
        <v>1250157.43399392</v>
      </c>
      <c r="G14" s="311"/>
      <c r="H14" s="311"/>
    </row>
    <row r="15" spans="1:8">
      <c r="A15" s="333" t="s">
        <v>612</v>
      </c>
      <c r="B15" s="328">
        <f>E68*2</f>
        <v>2</v>
      </c>
      <c r="C15" s="329">
        <f>2300*1.2318</f>
        <v>2833.14</v>
      </c>
      <c r="D15" s="329">
        <f t="shared" si="4"/>
        <v>2954.6258981200003</v>
      </c>
      <c r="E15" s="324">
        <f t="shared" si="2"/>
        <v>11575.53179624</v>
      </c>
      <c r="F15" s="324">
        <f t="shared" si="3"/>
        <v>138906.38155488</v>
      </c>
      <c r="G15" s="311"/>
      <c r="H15" s="311"/>
    </row>
    <row r="16" spans="1:8">
      <c r="A16" s="333" t="s">
        <v>613</v>
      </c>
      <c r="B16" s="328">
        <f>E69*2</f>
        <v>2</v>
      </c>
      <c r="C16" s="329">
        <f>1250*1.2318</f>
        <v>1539.75</v>
      </c>
      <c r="D16" s="329">
        <f t="shared" si="4"/>
        <v>1805.5032055000001</v>
      </c>
      <c r="E16" s="324">
        <f t="shared" si="2"/>
        <v>6690.5064110000003</v>
      </c>
      <c r="F16" s="324">
        <f t="shared" si="3"/>
        <v>80286.076931999996</v>
      </c>
      <c r="G16" s="311"/>
      <c r="H16" s="311"/>
    </row>
    <row r="17" spans="1:9">
      <c r="A17" s="333" t="s">
        <v>614</v>
      </c>
      <c r="B17" s="328">
        <f>(E71+E75+E77)*2</f>
        <v>4</v>
      </c>
      <c r="C17" s="329">
        <f>2300*1.2318</f>
        <v>2833.14</v>
      </c>
      <c r="D17" s="329">
        <f t="shared" si="4"/>
        <v>2954.6258981200003</v>
      </c>
      <c r="E17" s="324">
        <f t="shared" si="2"/>
        <v>23151.063592480001</v>
      </c>
      <c r="F17" s="324">
        <f t="shared" si="3"/>
        <v>277812.76310976001</v>
      </c>
      <c r="G17" s="311"/>
      <c r="H17" s="311"/>
    </row>
    <row r="18" spans="1:9">
      <c r="A18" s="333" t="s">
        <v>615</v>
      </c>
      <c r="B18" s="328">
        <f>E50*2</f>
        <v>2</v>
      </c>
      <c r="C18" s="329">
        <f>$B$38*1.1</f>
        <v>1333.2</v>
      </c>
      <c r="D18" s="329">
        <f t="shared" si="4"/>
        <v>1621.9922056000003</v>
      </c>
      <c r="E18" s="324">
        <f t="shared" si="2"/>
        <v>5910.3844112000006</v>
      </c>
      <c r="F18" s="324">
        <f t="shared" si="3"/>
        <v>70924.612934400007</v>
      </c>
      <c r="G18" s="311"/>
      <c r="H18" s="311"/>
    </row>
    <row r="19" spans="1:9">
      <c r="A19" s="326" t="s">
        <v>616</v>
      </c>
      <c r="B19" s="334">
        <f>SUM(B8:B18)</f>
        <v>224</v>
      </c>
      <c r="C19" s="335"/>
      <c r="D19" s="335"/>
      <c r="E19" s="336">
        <f>SUM(E8:E18)</f>
        <v>765231.06530228013</v>
      </c>
      <c r="F19" s="336">
        <f>SUM(F8:F18)</f>
        <v>9182772.7836273611</v>
      </c>
      <c r="G19" s="335"/>
      <c r="H19" s="335"/>
    </row>
    <row r="20" spans="1:9">
      <c r="A20" s="323"/>
      <c r="B20" s="323"/>
      <c r="C20" s="323"/>
      <c r="D20" s="323"/>
      <c r="E20" s="323"/>
      <c r="F20" s="323"/>
      <c r="G20" s="311"/>
      <c r="H20" s="323"/>
    </row>
    <row r="21" spans="1:9">
      <c r="A21" s="326" t="s">
        <v>617</v>
      </c>
      <c r="B21" s="326" t="s">
        <v>600</v>
      </c>
      <c r="C21" s="326" t="s">
        <v>474</v>
      </c>
      <c r="D21" s="326" t="s">
        <v>601</v>
      </c>
      <c r="E21" s="326" t="s">
        <v>602</v>
      </c>
      <c r="F21" s="337" t="s">
        <v>603</v>
      </c>
      <c r="G21" s="335"/>
      <c r="H21" s="335"/>
    </row>
    <row r="22" spans="1:9">
      <c r="A22" s="327"/>
      <c r="B22" s="311"/>
      <c r="C22" s="324"/>
      <c r="D22" s="324"/>
      <c r="E22" s="324"/>
      <c r="F22" s="324"/>
      <c r="G22" s="338"/>
      <c r="H22" s="323"/>
    </row>
    <row r="23" spans="1:9">
      <c r="A23" s="326" t="s">
        <v>616</v>
      </c>
      <c r="B23" s="334">
        <f>SUM(B22)</f>
        <v>0</v>
      </c>
      <c r="C23" s="335"/>
      <c r="D23" s="335"/>
      <c r="E23" s="339">
        <f>SUM(E22)</f>
        <v>0</v>
      </c>
      <c r="F23" s="340">
        <f>SUM(F22)</f>
        <v>0</v>
      </c>
      <c r="G23" s="335"/>
      <c r="H23" s="335"/>
    </row>
    <row r="24" spans="1:9">
      <c r="A24" s="323"/>
      <c r="B24" s="323"/>
      <c r="C24" s="323"/>
      <c r="D24" s="323"/>
      <c r="E24" s="323"/>
      <c r="F24" s="323"/>
      <c r="G24" s="311"/>
      <c r="H24" s="323"/>
    </row>
    <row r="25" spans="1:9">
      <c r="A25" s="326" t="s">
        <v>618</v>
      </c>
      <c r="B25" s="326" t="s">
        <v>619</v>
      </c>
      <c r="C25" s="326" t="s">
        <v>620</v>
      </c>
      <c r="D25" s="326" t="s">
        <v>621</v>
      </c>
      <c r="E25" s="326" t="s">
        <v>622</v>
      </c>
      <c r="F25" s="337" t="s">
        <v>623</v>
      </c>
      <c r="G25" s="335"/>
      <c r="H25" s="335"/>
    </row>
    <row r="26" spans="1:9">
      <c r="A26" s="341" t="s">
        <v>624</v>
      </c>
      <c r="B26" s="328">
        <f>E44</f>
        <v>1</v>
      </c>
      <c r="C26" s="324">
        <f>3500*1.2318</f>
        <v>4311.3</v>
      </c>
      <c r="D26" s="324">
        <f>((C26*$F$4)+(($B$4+$C$4)*$H$4)+$D$4)</f>
        <v>3716.0625754000007</v>
      </c>
      <c r="E26" s="324">
        <f t="shared" ref="E26:E31" si="5">(C26+D26)*B26</f>
        <v>8027.3625754000004</v>
      </c>
      <c r="F26" s="324">
        <f t="shared" ref="F26:F31" si="6">E26*12</f>
        <v>96328.350904799998</v>
      </c>
      <c r="I26" s="338"/>
    </row>
    <row r="27" spans="1:9">
      <c r="A27" s="341" t="s">
        <v>625</v>
      </c>
      <c r="B27" s="328">
        <f>E45+E46</f>
        <v>1</v>
      </c>
      <c r="C27" s="324">
        <f>2300*1.2318</f>
        <v>2833.14</v>
      </c>
      <c r="D27" s="324">
        <f t="shared" ref="D27:D29" si="7">((C27*$F$4)+(($B$4+$C$4)*$H$4)+$D$4)</f>
        <v>2591.9839781200003</v>
      </c>
      <c r="E27" s="324">
        <f t="shared" si="5"/>
        <v>5425.1239781200002</v>
      </c>
      <c r="F27" s="324">
        <f t="shared" si="6"/>
        <v>65101.487737440002</v>
      </c>
      <c r="G27" s="338"/>
      <c r="H27" s="342"/>
    </row>
    <row r="28" spans="1:9">
      <c r="A28" s="341" t="s">
        <v>626</v>
      </c>
      <c r="B28" s="328">
        <f>E47</f>
        <v>1</v>
      </c>
      <c r="C28" s="324">
        <f>1500*1.2318</f>
        <v>1847.7</v>
      </c>
      <c r="D28" s="324">
        <f t="shared" si="7"/>
        <v>1842.5982466000003</v>
      </c>
      <c r="E28" s="324">
        <f t="shared" si="5"/>
        <v>3690.2982466000003</v>
      </c>
      <c r="F28" s="324">
        <f t="shared" si="6"/>
        <v>44283.578959200007</v>
      </c>
      <c r="G28" s="343"/>
      <c r="H28" s="323"/>
    </row>
    <row r="29" spans="1:9">
      <c r="A29" s="341" t="s">
        <v>159</v>
      </c>
      <c r="B29" s="328">
        <f>E48*2</f>
        <v>2</v>
      </c>
      <c r="C29" s="324">
        <f>2500*1.2318</f>
        <v>3079.5</v>
      </c>
      <c r="D29" s="324">
        <f t="shared" si="7"/>
        <v>2779.3304110000004</v>
      </c>
      <c r="E29" s="324">
        <f t="shared" si="5"/>
        <v>11717.660822000002</v>
      </c>
      <c r="F29" s="324">
        <f t="shared" si="6"/>
        <v>140611.92986400001</v>
      </c>
      <c r="G29" s="311"/>
      <c r="H29" s="311"/>
    </row>
    <row r="30" spans="1:9">
      <c r="A30" s="341" t="s">
        <v>627</v>
      </c>
      <c r="B30" s="328">
        <f>E42*2</f>
        <v>8</v>
      </c>
      <c r="C30" s="329">
        <f>$B$38*1.1</f>
        <v>1333.2</v>
      </c>
      <c r="D30" s="324">
        <f>((C30*$F$4)+(C30*$E$4*2/25*8))+(($B$4+$C$4)*$H$4)+$D$4</f>
        <v>1621.9922056000003</v>
      </c>
      <c r="E30" s="324">
        <f t="shared" si="5"/>
        <v>23641.537644800002</v>
      </c>
      <c r="F30" s="324">
        <f t="shared" si="6"/>
        <v>283698.45173760003</v>
      </c>
      <c r="G30" s="311"/>
      <c r="H30" s="311"/>
    </row>
    <row r="31" spans="1:9">
      <c r="A31" s="341" t="s">
        <v>628</v>
      </c>
      <c r="B31" s="328">
        <f>E70*2</f>
        <v>2</v>
      </c>
      <c r="C31" s="344">
        <f>2300*1.2318</f>
        <v>2833.14</v>
      </c>
      <c r="D31" s="324">
        <f>((C31*$F$4)+(($B$4+$C$4)*$H$4)+$D$4)</f>
        <v>2591.9839781200003</v>
      </c>
      <c r="E31" s="344">
        <f t="shared" si="5"/>
        <v>10850.24795624</v>
      </c>
      <c r="F31" s="344">
        <f t="shared" si="6"/>
        <v>130202.97547488</v>
      </c>
      <c r="G31" s="311"/>
      <c r="H31" s="311"/>
    </row>
    <row r="32" spans="1:9">
      <c r="A32" s="326" t="s">
        <v>616</v>
      </c>
      <c r="B32" s="334">
        <f>SUM(B26:B31)</f>
        <v>15</v>
      </c>
      <c r="C32" s="335"/>
      <c r="D32" s="335"/>
      <c r="E32" s="339">
        <f>SUM(E26:E31)</f>
        <v>63352.231223160008</v>
      </c>
      <c r="F32" s="340">
        <f>SUM(F26:F31)</f>
        <v>760226.77467792004</v>
      </c>
      <c r="G32" s="335"/>
      <c r="H32" s="335"/>
    </row>
    <row r="33" spans="1:8">
      <c r="A33" s="323"/>
      <c r="B33" s="323"/>
      <c r="C33" s="323"/>
      <c r="D33" s="323"/>
      <c r="E33" s="323"/>
      <c r="F33" s="323"/>
      <c r="G33" s="311"/>
      <c r="H33" s="323"/>
    </row>
    <row r="34" spans="1:8" ht="16">
      <c r="A34" s="345" t="s">
        <v>629</v>
      </c>
      <c r="B34" s="346">
        <f>B32+B23+B19</f>
        <v>239</v>
      </c>
      <c r="C34" s="347"/>
      <c r="D34" s="347"/>
      <c r="E34" s="348">
        <f>E32+E23+E19</f>
        <v>828583.29652544018</v>
      </c>
      <c r="F34" s="348">
        <f>F32+F23+F19</f>
        <v>9942999.5583052803</v>
      </c>
      <c r="G34" s="335"/>
      <c r="H34" s="335"/>
    </row>
    <row r="35" spans="1:8">
      <c r="A35" s="323"/>
      <c r="B35" s="323"/>
      <c r="C35" s="323"/>
      <c r="D35" s="323"/>
      <c r="E35" s="323"/>
      <c r="F35" s="323"/>
      <c r="G35" s="311"/>
      <c r="H35" s="323"/>
    </row>
    <row r="36" spans="1:8" ht="16" thickBot="1">
      <c r="A36" s="349" t="s">
        <v>766</v>
      </c>
      <c r="B36" s="349"/>
      <c r="C36" s="349"/>
      <c r="D36" s="323"/>
      <c r="E36" s="323"/>
      <c r="F36" s="323"/>
      <c r="G36" s="311"/>
      <c r="H36" s="323"/>
    </row>
    <row r="37" spans="1:8" ht="16" thickBot="1">
      <c r="A37" s="350" t="s">
        <v>630</v>
      </c>
      <c r="B37" s="350" t="s">
        <v>631</v>
      </c>
      <c r="C37" s="349" t="s">
        <v>632</v>
      </c>
      <c r="D37" s="323"/>
      <c r="E37" s="323"/>
      <c r="F37" s="323"/>
      <c r="G37" s="311"/>
      <c r="H37" s="323"/>
    </row>
    <row r="38" spans="1:8" ht="16" thickBot="1">
      <c r="A38" s="393" t="s">
        <v>759</v>
      </c>
      <c r="B38" s="351">
        <v>1212</v>
      </c>
      <c r="C38" s="394">
        <v>2022</v>
      </c>
      <c r="D38" s="395" t="s">
        <v>760</v>
      </c>
      <c r="E38" s="323"/>
      <c r="F38" s="323"/>
      <c r="G38" s="311"/>
      <c r="H38" s="323"/>
    </row>
    <row r="39" spans="1:8" ht="16" thickBot="1">
      <c r="A39" s="323"/>
      <c r="B39" s="323"/>
      <c r="C39" s="323"/>
      <c r="D39" s="323"/>
      <c r="E39" s="311"/>
      <c r="F39" s="323"/>
      <c r="G39" s="323"/>
      <c r="H39" s="323"/>
    </row>
    <row r="40" spans="1:8" ht="16" thickBot="1">
      <c r="A40" s="323"/>
      <c r="B40" s="497" t="s">
        <v>633</v>
      </c>
      <c r="C40" s="498"/>
      <c r="D40" s="499"/>
      <c r="E40" s="352" t="s">
        <v>39</v>
      </c>
      <c r="F40" s="353" t="s">
        <v>634</v>
      </c>
      <c r="G40" s="323"/>
      <c r="H40" s="323"/>
    </row>
    <row r="41" spans="1:8">
      <c r="A41" s="323"/>
      <c r="B41" s="476" t="s">
        <v>635</v>
      </c>
      <c r="C41" s="477" t="s">
        <v>636</v>
      </c>
      <c r="D41" s="478"/>
      <c r="E41" s="354">
        <v>2</v>
      </c>
      <c r="F41" s="355">
        <v>10</v>
      </c>
      <c r="G41" s="311"/>
      <c r="H41" s="311"/>
    </row>
    <row r="42" spans="1:8">
      <c r="A42" s="323"/>
      <c r="B42" s="476"/>
      <c r="C42" s="481" t="s">
        <v>627</v>
      </c>
      <c r="D42" s="482"/>
      <c r="E42" s="356">
        <v>4</v>
      </c>
      <c r="F42" s="311">
        <v>10</v>
      </c>
      <c r="G42" s="311"/>
      <c r="H42" s="311"/>
    </row>
    <row r="43" spans="1:8" ht="16" thickBot="1">
      <c r="A43" s="323"/>
      <c r="B43" s="471"/>
      <c r="C43" s="474" t="s">
        <v>637</v>
      </c>
      <c r="D43" s="475"/>
      <c r="E43" s="357">
        <v>1</v>
      </c>
      <c r="F43" s="358">
        <v>10</v>
      </c>
      <c r="G43" s="311"/>
      <c r="H43" s="311"/>
    </row>
    <row r="44" spans="1:8">
      <c r="A44" s="323"/>
      <c r="B44" s="490" t="s">
        <v>638</v>
      </c>
      <c r="C44" s="477" t="s">
        <v>624</v>
      </c>
      <c r="D44" s="478"/>
      <c r="E44" s="354">
        <v>1</v>
      </c>
      <c r="F44" s="355">
        <v>8</v>
      </c>
      <c r="G44" s="311"/>
      <c r="H44" s="311"/>
    </row>
    <row r="45" spans="1:8">
      <c r="A45" s="323"/>
      <c r="B45" s="491"/>
      <c r="C45" s="481" t="s">
        <v>639</v>
      </c>
      <c r="D45" s="482"/>
      <c r="E45" s="356">
        <v>1</v>
      </c>
      <c r="F45" s="311">
        <v>8</v>
      </c>
      <c r="G45" s="323"/>
      <c r="H45" s="323"/>
    </row>
    <row r="46" spans="1:8">
      <c r="A46" s="323"/>
      <c r="B46" s="491"/>
      <c r="C46" s="481" t="s">
        <v>640</v>
      </c>
      <c r="D46" s="482"/>
      <c r="E46" s="356">
        <v>0</v>
      </c>
      <c r="F46" s="311">
        <v>8</v>
      </c>
      <c r="G46" s="323"/>
      <c r="H46" s="323"/>
    </row>
    <row r="47" spans="1:8">
      <c r="A47" s="323"/>
      <c r="B47" s="491"/>
      <c r="C47" s="481" t="s">
        <v>641</v>
      </c>
      <c r="D47" s="482"/>
      <c r="E47" s="356">
        <v>1</v>
      </c>
      <c r="F47" s="311">
        <v>8</v>
      </c>
      <c r="G47" s="323"/>
      <c r="H47" s="323"/>
    </row>
    <row r="48" spans="1:8">
      <c r="A48" s="323"/>
      <c r="B48" s="491"/>
      <c r="C48" s="481" t="s">
        <v>159</v>
      </c>
      <c r="D48" s="482"/>
      <c r="E48" s="356">
        <v>1</v>
      </c>
      <c r="F48" s="311">
        <v>8</v>
      </c>
      <c r="G48" s="323"/>
      <c r="H48" s="323"/>
    </row>
    <row r="49" spans="1:8">
      <c r="A49" s="323"/>
      <c r="B49" s="491"/>
      <c r="C49" s="481" t="s">
        <v>642</v>
      </c>
      <c r="D49" s="482"/>
      <c r="E49" s="356">
        <v>1</v>
      </c>
      <c r="F49" s="311">
        <v>8</v>
      </c>
      <c r="G49" s="323"/>
      <c r="H49" s="323"/>
    </row>
    <row r="50" spans="1:8" ht="16" thickBot="1">
      <c r="A50" s="323"/>
      <c r="B50" s="492"/>
      <c r="C50" s="474" t="s">
        <v>643</v>
      </c>
      <c r="D50" s="475"/>
      <c r="E50" s="357">
        <v>1</v>
      </c>
      <c r="F50" s="358">
        <v>10</v>
      </c>
      <c r="G50" s="323"/>
      <c r="H50" s="323"/>
    </row>
    <row r="51" spans="1:8">
      <c r="A51" s="323"/>
      <c r="B51" s="483" t="s">
        <v>644</v>
      </c>
      <c r="C51" s="477" t="s">
        <v>645</v>
      </c>
      <c r="D51" s="478"/>
      <c r="E51" s="359">
        <v>1</v>
      </c>
      <c r="F51" s="360">
        <v>10</v>
      </c>
      <c r="G51" s="323"/>
      <c r="H51" s="323"/>
    </row>
    <row r="52" spans="1:8">
      <c r="A52" s="323"/>
      <c r="B52" s="489"/>
      <c r="C52" s="481" t="s">
        <v>646</v>
      </c>
      <c r="D52" s="482"/>
      <c r="E52" s="361"/>
      <c r="F52" s="361"/>
      <c r="G52" s="323"/>
      <c r="H52" s="323"/>
    </row>
    <row r="53" spans="1:8">
      <c r="A53" s="323"/>
      <c r="B53" s="489"/>
      <c r="C53" s="481" t="s">
        <v>647</v>
      </c>
      <c r="D53" s="482"/>
      <c r="E53" s="362">
        <v>8</v>
      </c>
      <c r="F53" s="361">
        <v>8</v>
      </c>
      <c r="G53" s="323"/>
      <c r="H53" s="323"/>
    </row>
    <row r="54" spans="1:8">
      <c r="A54" s="323"/>
      <c r="B54" s="489"/>
      <c r="C54" s="481" t="s">
        <v>648</v>
      </c>
      <c r="D54" s="482"/>
      <c r="E54" s="362"/>
      <c r="F54" s="361"/>
      <c r="G54" s="323"/>
      <c r="H54" s="323"/>
    </row>
    <row r="55" spans="1:8">
      <c r="A55" s="323"/>
      <c r="B55" s="489"/>
      <c r="C55" s="481" t="s">
        <v>647</v>
      </c>
      <c r="D55" s="482"/>
      <c r="E55" s="362">
        <v>2</v>
      </c>
      <c r="F55" s="361">
        <v>8</v>
      </c>
      <c r="G55" s="323"/>
      <c r="H55" s="323"/>
    </row>
    <row r="56" spans="1:8">
      <c r="A56" s="323"/>
      <c r="B56" s="489"/>
      <c r="C56" s="481" t="s">
        <v>649</v>
      </c>
      <c r="D56" s="482"/>
      <c r="E56" s="362"/>
      <c r="F56" s="361"/>
      <c r="G56" s="323"/>
      <c r="H56" s="323"/>
    </row>
    <row r="57" spans="1:8">
      <c r="A57" s="323"/>
      <c r="B57" s="489"/>
      <c r="C57" s="481" t="s">
        <v>681</v>
      </c>
      <c r="D57" s="482"/>
      <c r="E57" s="362">
        <v>3</v>
      </c>
      <c r="F57" s="361"/>
      <c r="G57" s="323"/>
      <c r="H57" s="323"/>
    </row>
    <row r="58" spans="1:8">
      <c r="A58" s="323"/>
      <c r="B58" s="489"/>
      <c r="C58" s="481" t="s">
        <v>650</v>
      </c>
      <c r="D58" s="482"/>
      <c r="E58" s="362">
        <v>20</v>
      </c>
      <c r="F58" s="361">
        <v>8</v>
      </c>
      <c r="G58" s="323"/>
      <c r="H58" s="323"/>
    </row>
    <row r="59" spans="1:8">
      <c r="A59" s="323"/>
      <c r="B59" s="489"/>
      <c r="C59" s="487" t="s">
        <v>651</v>
      </c>
      <c r="D59" s="488"/>
      <c r="E59" s="362">
        <v>4</v>
      </c>
      <c r="F59" s="361">
        <v>8</v>
      </c>
      <c r="G59" s="323"/>
      <c r="H59" s="323"/>
    </row>
    <row r="60" spans="1:8">
      <c r="A60" s="323"/>
      <c r="B60" s="489"/>
      <c r="C60" s="481" t="s">
        <v>652</v>
      </c>
      <c r="D60" s="482"/>
      <c r="E60" s="362">
        <v>1</v>
      </c>
      <c r="F60" s="361">
        <v>8</v>
      </c>
      <c r="G60" s="323"/>
      <c r="H60" s="323"/>
    </row>
    <row r="61" spans="1:8">
      <c r="A61" s="323"/>
      <c r="B61" s="489"/>
      <c r="C61" s="481" t="s">
        <v>653</v>
      </c>
      <c r="D61" s="482"/>
      <c r="E61" s="362">
        <v>1</v>
      </c>
      <c r="F61" s="361">
        <v>8</v>
      </c>
      <c r="G61" s="323"/>
      <c r="H61" s="323"/>
    </row>
    <row r="62" spans="1:8" ht="16" thickBot="1">
      <c r="A62" s="323"/>
      <c r="B62" s="484"/>
      <c r="C62" s="474" t="s">
        <v>610</v>
      </c>
      <c r="D62" s="475"/>
      <c r="E62" s="363">
        <v>1</v>
      </c>
      <c r="F62" s="364">
        <v>10</v>
      </c>
      <c r="G62" s="323"/>
      <c r="H62" s="323"/>
    </row>
    <row r="63" spans="1:8">
      <c r="A63" s="323"/>
      <c r="B63" s="470" t="s">
        <v>654</v>
      </c>
      <c r="C63" s="477" t="s">
        <v>655</v>
      </c>
      <c r="D63" s="478"/>
      <c r="E63" s="359">
        <v>1</v>
      </c>
      <c r="F63" s="360">
        <v>10</v>
      </c>
      <c r="G63" s="323"/>
      <c r="H63" s="323"/>
    </row>
    <row r="64" spans="1:8">
      <c r="A64" s="323"/>
      <c r="B64" s="476"/>
      <c r="C64" s="481" t="s">
        <v>656</v>
      </c>
      <c r="D64" s="482"/>
      <c r="E64" s="362">
        <v>0</v>
      </c>
      <c r="F64" s="361">
        <v>10</v>
      </c>
      <c r="G64" s="323"/>
      <c r="H64" s="323"/>
    </row>
    <row r="65" spans="1:8">
      <c r="A65" s="323"/>
      <c r="B65" s="476"/>
      <c r="C65" s="481" t="s">
        <v>657</v>
      </c>
      <c r="D65" s="482"/>
      <c r="E65" s="362">
        <v>2</v>
      </c>
      <c r="F65" s="361">
        <v>10</v>
      </c>
      <c r="G65" s="323"/>
      <c r="H65" s="323"/>
    </row>
    <row r="66" spans="1:8">
      <c r="A66" s="323"/>
      <c r="B66" s="476"/>
      <c r="C66" s="481" t="s">
        <v>658</v>
      </c>
      <c r="D66" s="482"/>
      <c r="E66" s="362">
        <v>1</v>
      </c>
      <c r="F66" s="361">
        <v>10</v>
      </c>
      <c r="G66" s="323"/>
      <c r="H66" s="323"/>
    </row>
    <row r="67" spans="1:8">
      <c r="A67" s="323"/>
      <c r="B67" s="476"/>
      <c r="C67" s="481" t="s">
        <v>659</v>
      </c>
      <c r="D67" s="482"/>
      <c r="E67" s="362">
        <v>1</v>
      </c>
      <c r="F67" s="361">
        <v>10</v>
      </c>
      <c r="G67" s="323"/>
      <c r="H67" s="323"/>
    </row>
    <row r="68" spans="1:8">
      <c r="A68" s="323"/>
      <c r="B68" s="476"/>
      <c r="C68" s="481" t="s">
        <v>612</v>
      </c>
      <c r="D68" s="482"/>
      <c r="E68" s="362">
        <v>1</v>
      </c>
      <c r="F68" s="361">
        <v>10</v>
      </c>
      <c r="G68" s="323"/>
      <c r="H68" s="323"/>
    </row>
    <row r="69" spans="1:8">
      <c r="A69" s="323"/>
      <c r="B69" s="476"/>
      <c r="C69" s="481" t="s">
        <v>660</v>
      </c>
      <c r="D69" s="482"/>
      <c r="E69" s="362">
        <v>1</v>
      </c>
      <c r="F69" s="361">
        <v>10</v>
      </c>
      <c r="G69" s="323"/>
      <c r="H69" s="323"/>
    </row>
    <row r="70" spans="1:8" ht="16" thickBot="1">
      <c r="A70" s="323"/>
      <c r="B70" s="471"/>
      <c r="C70" s="481" t="s">
        <v>628</v>
      </c>
      <c r="D70" s="482"/>
      <c r="E70" s="362">
        <v>1</v>
      </c>
      <c r="F70" s="361">
        <v>10</v>
      </c>
      <c r="G70" s="323"/>
      <c r="H70" s="323"/>
    </row>
    <row r="71" spans="1:8">
      <c r="A71" s="323"/>
      <c r="B71" s="483" t="s">
        <v>661</v>
      </c>
      <c r="C71" s="485" t="s">
        <v>738</v>
      </c>
      <c r="D71" s="486"/>
      <c r="E71" s="359">
        <v>1</v>
      </c>
      <c r="F71" s="360">
        <v>8</v>
      </c>
      <c r="G71" s="323"/>
      <c r="H71" s="323"/>
    </row>
    <row r="72" spans="1:8" ht="16" thickBot="1">
      <c r="A72" s="323"/>
      <c r="B72" s="484"/>
      <c r="C72" s="487" t="s">
        <v>662</v>
      </c>
      <c r="D72" s="488"/>
      <c r="E72" s="362">
        <v>4</v>
      </c>
      <c r="F72" s="361">
        <v>8</v>
      </c>
      <c r="G72" s="323"/>
      <c r="H72" s="323"/>
    </row>
    <row r="73" spans="1:8">
      <c r="A73" s="323"/>
      <c r="B73" s="483" t="s">
        <v>663</v>
      </c>
      <c r="C73" s="477" t="s">
        <v>664</v>
      </c>
      <c r="D73" s="478"/>
      <c r="E73" s="359">
        <v>1</v>
      </c>
      <c r="F73" s="360">
        <v>8</v>
      </c>
      <c r="G73" s="323"/>
      <c r="H73" s="323"/>
    </row>
    <row r="74" spans="1:8">
      <c r="A74" s="323"/>
      <c r="B74" s="489"/>
      <c r="C74" s="481" t="s">
        <v>665</v>
      </c>
      <c r="D74" s="482"/>
      <c r="E74" s="362">
        <v>1</v>
      </c>
      <c r="F74" s="361">
        <v>8</v>
      </c>
      <c r="G74" s="323"/>
      <c r="H74" s="323"/>
    </row>
    <row r="75" spans="1:8" ht="16" thickBot="1">
      <c r="A75" s="323"/>
      <c r="B75" s="484"/>
      <c r="C75" s="479" t="s">
        <v>614</v>
      </c>
      <c r="D75" s="480"/>
      <c r="E75" s="363">
        <v>1</v>
      </c>
      <c r="F75" s="364">
        <v>8</v>
      </c>
      <c r="G75" s="323"/>
      <c r="H75" s="323"/>
    </row>
    <row r="76" spans="1:8">
      <c r="A76" s="323"/>
      <c r="B76" s="470" t="s">
        <v>666</v>
      </c>
      <c r="C76" s="472" t="s">
        <v>605</v>
      </c>
      <c r="D76" s="473"/>
      <c r="E76" s="359">
        <v>1</v>
      </c>
      <c r="F76" s="360">
        <v>8</v>
      </c>
      <c r="G76" s="323"/>
      <c r="H76" s="323"/>
    </row>
    <row r="77" spans="1:8" ht="16" thickBot="1">
      <c r="A77" s="323"/>
      <c r="B77" s="471"/>
      <c r="C77" s="474" t="s">
        <v>667</v>
      </c>
      <c r="D77" s="475"/>
      <c r="E77" s="363">
        <v>0</v>
      </c>
      <c r="F77" s="364">
        <v>8</v>
      </c>
      <c r="G77" s="311"/>
      <c r="H77" s="311"/>
    </row>
    <row r="78" spans="1:8">
      <c r="A78" s="323"/>
      <c r="B78" s="470" t="s">
        <v>668</v>
      </c>
      <c r="C78" s="477" t="s">
        <v>656</v>
      </c>
      <c r="D78" s="478"/>
      <c r="E78" s="359">
        <v>1</v>
      </c>
      <c r="F78" s="360">
        <v>8</v>
      </c>
      <c r="G78" s="311"/>
      <c r="H78" s="311"/>
    </row>
    <row r="79" spans="1:8" ht="16" thickBot="1">
      <c r="A79" s="323"/>
      <c r="B79" s="476"/>
      <c r="C79" s="479" t="s">
        <v>669</v>
      </c>
      <c r="D79" s="480"/>
      <c r="E79" s="362">
        <v>2</v>
      </c>
      <c r="F79" s="361">
        <v>8</v>
      </c>
      <c r="G79" s="311"/>
      <c r="H79" s="311"/>
    </row>
    <row r="80" spans="1:8" ht="16" thickBot="1">
      <c r="A80" s="323"/>
      <c r="B80" s="471"/>
      <c r="C80" s="479" t="s">
        <v>662</v>
      </c>
      <c r="D80" s="480"/>
      <c r="E80" s="363">
        <v>4</v>
      </c>
      <c r="F80" s="364">
        <v>8</v>
      </c>
      <c r="G80" s="311"/>
      <c r="H80" s="311"/>
    </row>
    <row r="81" spans="1:27">
      <c r="A81" s="323"/>
      <c r="B81" s="323"/>
      <c r="C81" s="323"/>
      <c r="D81" s="323"/>
      <c r="E81" s="311"/>
      <c r="F81" s="323"/>
      <c r="G81" s="311"/>
      <c r="H81" s="311"/>
    </row>
    <row r="82" spans="1:27">
      <c r="A82" t="s">
        <v>670</v>
      </c>
      <c r="B82" s="167">
        <f>Reinvestimento!H6</f>
        <v>5.79E-2</v>
      </c>
    </row>
    <row r="83" spans="1:27">
      <c r="B83" s="100" t="s">
        <v>177</v>
      </c>
      <c r="C83" s="102" t="s">
        <v>129</v>
      </c>
      <c r="D83" s="102" t="s">
        <v>130</v>
      </c>
      <c r="E83" s="102" t="s">
        <v>131</v>
      </c>
      <c r="F83" s="102" t="s">
        <v>132</v>
      </c>
      <c r="G83" s="102" t="s">
        <v>133</v>
      </c>
      <c r="H83" s="102" t="s">
        <v>134</v>
      </c>
      <c r="I83" s="102" t="s">
        <v>135</v>
      </c>
      <c r="J83" s="102" t="s">
        <v>136</v>
      </c>
      <c r="K83" s="102" t="s">
        <v>137</v>
      </c>
      <c r="L83" s="102" t="s">
        <v>138</v>
      </c>
      <c r="M83" s="102" t="s">
        <v>139</v>
      </c>
      <c r="N83" s="102" t="s">
        <v>140</v>
      </c>
      <c r="O83" s="102" t="s">
        <v>141</v>
      </c>
      <c r="P83" s="102" t="s">
        <v>142</v>
      </c>
      <c r="Q83" s="102" t="s">
        <v>143</v>
      </c>
      <c r="R83" s="102" t="s">
        <v>144</v>
      </c>
      <c r="S83" s="102" t="s">
        <v>145</v>
      </c>
      <c r="T83" s="102" t="s">
        <v>146</v>
      </c>
      <c r="U83" s="102" t="s">
        <v>147</v>
      </c>
      <c r="V83" s="102" t="s">
        <v>148</v>
      </c>
      <c r="W83" s="102" t="s">
        <v>149</v>
      </c>
      <c r="X83" s="102" t="s">
        <v>150</v>
      </c>
      <c r="Y83" s="102" t="s">
        <v>151</v>
      </c>
      <c r="Z83" s="102" t="s">
        <v>152</v>
      </c>
      <c r="AA83" s="102" t="s">
        <v>153</v>
      </c>
    </row>
    <row r="84" spans="1:27">
      <c r="A84" s="92" t="s">
        <v>161</v>
      </c>
      <c r="B84" s="365">
        <f>E34</f>
        <v>828583.29652544018</v>
      </c>
      <c r="C84" s="93">
        <f>B84*12</f>
        <v>9942999.5583052821</v>
      </c>
      <c r="D84" s="93">
        <f>C84*(1+$B$82)</f>
        <v>10518699.232731158</v>
      </c>
      <c r="E84" s="93">
        <f t="shared" ref="E84:AA84" si="8">D84*(1+$B$82)</f>
        <v>11127731.918306293</v>
      </c>
      <c r="F84" s="93">
        <f t="shared" si="8"/>
        <v>11772027.596376227</v>
      </c>
      <c r="G84" s="93">
        <f t="shared" si="8"/>
        <v>12453627.994206412</v>
      </c>
      <c r="H84" s="93">
        <f t="shared" si="8"/>
        <v>13174693.055070965</v>
      </c>
      <c r="I84" s="93">
        <f t="shared" si="8"/>
        <v>13937507.782959575</v>
      </c>
      <c r="J84" s="93">
        <f t="shared" si="8"/>
        <v>14744489.483592935</v>
      </c>
      <c r="K84" s="93">
        <f t="shared" si="8"/>
        <v>15598195.424692966</v>
      </c>
      <c r="L84" s="93">
        <f t="shared" si="8"/>
        <v>16501330.93978269</v>
      </c>
      <c r="M84" s="93">
        <f t="shared" si="8"/>
        <v>17456758.001196109</v>
      </c>
      <c r="N84" s="93">
        <f t="shared" si="8"/>
        <v>18467504.289465364</v>
      </c>
      <c r="O84" s="93">
        <f t="shared" si="8"/>
        <v>19536772.787825409</v>
      </c>
      <c r="P84" s="93">
        <f t="shared" si="8"/>
        <v>20667951.932240501</v>
      </c>
      <c r="Q84" s="93">
        <f t="shared" si="8"/>
        <v>21864626.349117227</v>
      </c>
      <c r="R84" s="93">
        <f t="shared" si="8"/>
        <v>23130588.214731116</v>
      </c>
      <c r="S84" s="93">
        <f t="shared" si="8"/>
        <v>24469849.27236405</v>
      </c>
      <c r="T84" s="93">
        <f t="shared" si="8"/>
        <v>25886653.545233931</v>
      </c>
      <c r="U84" s="93">
        <f t="shared" si="8"/>
        <v>27385490.785502978</v>
      </c>
      <c r="V84" s="93">
        <f t="shared" si="8"/>
        <v>28971110.701983601</v>
      </c>
      <c r="W84" s="93">
        <f t="shared" si="8"/>
        <v>30648538.011628453</v>
      </c>
      <c r="X84" s="93">
        <f t="shared" si="8"/>
        <v>32423088.36250174</v>
      </c>
      <c r="Y84" s="93">
        <f t="shared" si="8"/>
        <v>34300385.17869059</v>
      </c>
      <c r="Z84" s="93">
        <f t="shared" si="8"/>
        <v>36286377.480536774</v>
      </c>
      <c r="AA84" s="93">
        <f t="shared" si="8"/>
        <v>38387358.736659855</v>
      </c>
    </row>
  </sheetData>
  <mergeCells count="51">
    <mergeCell ref="A1:H1"/>
    <mergeCell ref="A2:G2"/>
    <mergeCell ref="B40:D40"/>
    <mergeCell ref="B41:B43"/>
    <mergeCell ref="C41:D41"/>
    <mergeCell ref="C42:D42"/>
    <mergeCell ref="C43:D43"/>
    <mergeCell ref="C56:D56"/>
    <mergeCell ref="C58:D58"/>
    <mergeCell ref="C59:D59"/>
    <mergeCell ref="C60:D60"/>
    <mergeCell ref="B44:B50"/>
    <mergeCell ref="C44:D44"/>
    <mergeCell ref="C45:D45"/>
    <mergeCell ref="C46:D46"/>
    <mergeCell ref="C47:D47"/>
    <mergeCell ref="C48:D48"/>
    <mergeCell ref="C49:D49"/>
    <mergeCell ref="C50:D50"/>
    <mergeCell ref="C57:D57"/>
    <mergeCell ref="C61:D61"/>
    <mergeCell ref="C62:D62"/>
    <mergeCell ref="B63:B70"/>
    <mergeCell ref="C63:D63"/>
    <mergeCell ref="C64:D64"/>
    <mergeCell ref="C65:D65"/>
    <mergeCell ref="C66:D66"/>
    <mergeCell ref="C67:D67"/>
    <mergeCell ref="C68:D68"/>
    <mergeCell ref="C69:D69"/>
    <mergeCell ref="B51:B62"/>
    <mergeCell ref="C51:D51"/>
    <mergeCell ref="C52:D52"/>
    <mergeCell ref="C53:D53"/>
    <mergeCell ref="C54:D54"/>
    <mergeCell ref="C55:D55"/>
    <mergeCell ref="C70:D70"/>
    <mergeCell ref="B71:B72"/>
    <mergeCell ref="C71:D71"/>
    <mergeCell ref="C72:D72"/>
    <mergeCell ref="B73:B75"/>
    <mergeCell ref="C73:D73"/>
    <mergeCell ref="C74:D74"/>
    <mergeCell ref="C75:D75"/>
    <mergeCell ref="B76:B77"/>
    <mergeCell ref="C76:D76"/>
    <mergeCell ref="C77:D77"/>
    <mergeCell ref="B78:B80"/>
    <mergeCell ref="C78:D78"/>
    <mergeCell ref="C79:D79"/>
    <mergeCell ref="C80:D80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workbookViewId="0">
      <selection activeCell="G26" sqref="G26"/>
    </sheetView>
  </sheetViews>
  <sheetFormatPr baseColWidth="10" defaultColWidth="8.83203125" defaultRowHeight="15"/>
  <cols>
    <col min="1" max="1" width="41.5" customWidth="1"/>
    <col min="2" max="2" width="61.1640625" customWidth="1"/>
  </cols>
  <sheetData>
    <row r="1" spans="1:3">
      <c r="A1" s="295"/>
      <c r="B1" s="296"/>
      <c r="C1" s="296"/>
    </row>
    <row r="2" spans="1:3">
      <c r="A2" s="296"/>
      <c r="B2" s="296"/>
      <c r="C2" s="296"/>
    </row>
    <row r="3" spans="1:3">
      <c r="A3" s="295" t="s">
        <v>536</v>
      </c>
      <c r="B3" s="296"/>
      <c r="C3" s="296"/>
    </row>
    <row r="4" spans="1:3">
      <c r="A4" s="297"/>
      <c r="B4" s="297"/>
      <c r="C4" s="298" t="s">
        <v>537</v>
      </c>
    </row>
    <row r="5" spans="1:3">
      <c r="A5" s="299" t="s">
        <v>538</v>
      </c>
      <c r="B5" s="296" t="s">
        <v>539</v>
      </c>
      <c r="C5" s="300">
        <v>0.1</v>
      </c>
    </row>
    <row r="6" spans="1:3">
      <c r="A6" s="299" t="s">
        <v>540</v>
      </c>
      <c r="B6" s="296" t="s">
        <v>541</v>
      </c>
      <c r="C6" s="300">
        <v>0.08</v>
      </c>
    </row>
    <row r="7" spans="1:3">
      <c r="A7" s="299" t="s">
        <v>542</v>
      </c>
      <c r="B7" s="296" t="s">
        <v>543</v>
      </c>
      <c r="C7" s="300">
        <v>0</v>
      </c>
    </row>
    <row r="8" spans="1:3">
      <c r="A8" s="299" t="s">
        <v>544</v>
      </c>
      <c r="B8" s="296" t="s">
        <v>545</v>
      </c>
      <c r="C8" s="300">
        <v>0</v>
      </c>
    </row>
    <row r="9" spans="1:3">
      <c r="A9" s="299" t="s">
        <v>546</v>
      </c>
      <c r="B9" s="296" t="s">
        <v>547</v>
      </c>
      <c r="C9" s="300">
        <v>0</v>
      </c>
    </row>
    <row r="10" spans="1:3">
      <c r="A10" s="299" t="s">
        <v>548</v>
      </c>
      <c r="B10" s="296" t="s">
        <v>549</v>
      </c>
      <c r="C10" s="300">
        <v>0</v>
      </c>
    </row>
    <row r="11" spans="1:3">
      <c r="A11" s="299" t="s">
        <v>550</v>
      </c>
      <c r="B11" s="296" t="s">
        <v>551</v>
      </c>
      <c r="C11" s="300">
        <v>0</v>
      </c>
    </row>
    <row r="12" spans="1:3">
      <c r="A12" s="299" t="s">
        <v>552</v>
      </c>
      <c r="B12" s="296" t="s">
        <v>553</v>
      </c>
      <c r="C12" s="300">
        <v>0.03</v>
      </c>
    </row>
    <row r="13" spans="1:3" ht="32">
      <c r="A13" s="299" t="s">
        <v>554</v>
      </c>
      <c r="B13" s="301" t="s">
        <v>555</v>
      </c>
      <c r="C13" s="300">
        <v>0</v>
      </c>
    </row>
    <row r="14" spans="1:3">
      <c r="A14" s="298" t="s">
        <v>556</v>
      </c>
      <c r="B14" s="302" t="s">
        <v>557</v>
      </c>
      <c r="C14" s="303">
        <f>SUM(C5:C13)</f>
        <v>0.21</v>
      </c>
    </row>
    <row r="15" spans="1:3">
      <c r="A15" s="299" t="s">
        <v>558</v>
      </c>
      <c r="B15" s="296" t="s">
        <v>559</v>
      </c>
      <c r="C15" s="304">
        <v>0.129</v>
      </c>
    </row>
    <row r="16" spans="1:3">
      <c r="A16" s="299" t="s">
        <v>560</v>
      </c>
      <c r="B16" s="296" t="s">
        <v>561</v>
      </c>
      <c r="C16" s="305">
        <v>7.9000000000000008E-3</v>
      </c>
    </row>
    <row r="17" spans="1:3">
      <c r="A17" s="299" t="s">
        <v>562</v>
      </c>
      <c r="B17" s="296" t="s">
        <v>563</v>
      </c>
      <c r="C17" s="305">
        <v>3.3999999999999998E-3</v>
      </c>
    </row>
    <row r="18" spans="1:3">
      <c r="A18" s="299" t="s">
        <v>564</v>
      </c>
      <c r="B18" s="296" t="s">
        <v>565</v>
      </c>
      <c r="C18" s="305">
        <v>0.1057</v>
      </c>
    </row>
    <row r="19" spans="1:3" ht="16">
      <c r="A19" s="299" t="s">
        <v>566</v>
      </c>
      <c r="B19" s="306" t="s">
        <v>567</v>
      </c>
      <c r="C19" s="305">
        <v>0.02</v>
      </c>
    </row>
    <row r="20" spans="1:3">
      <c r="A20" s="298" t="s">
        <v>568</v>
      </c>
      <c r="B20" s="302" t="s">
        <v>569</v>
      </c>
      <c r="C20" s="307">
        <f>SUM(C15:C19)</f>
        <v>0.26600000000000001</v>
      </c>
    </row>
    <row r="21" spans="1:3">
      <c r="A21" s="299" t="s">
        <v>570</v>
      </c>
      <c r="B21" s="296" t="s">
        <v>571</v>
      </c>
      <c r="C21" s="305">
        <f>((C6)+(C6*C20))*45%</f>
        <v>4.5576000000000005E-2</v>
      </c>
    </row>
    <row r="22" spans="1:3">
      <c r="A22" s="299" t="s">
        <v>572</v>
      </c>
      <c r="B22" s="296" t="s">
        <v>573</v>
      </c>
      <c r="C22" s="305">
        <v>0.1057</v>
      </c>
    </row>
    <row r="23" spans="1:3">
      <c r="A23" s="299" t="s">
        <v>574</v>
      </c>
      <c r="B23" s="296" t="s">
        <v>575</v>
      </c>
      <c r="C23" s="305">
        <v>0.1057</v>
      </c>
    </row>
    <row r="24" spans="1:3">
      <c r="A24" s="298" t="s">
        <v>576</v>
      </c>
      <c r="B24" s="302" t="s">
        <v>577</v>
      </c>
      <c r="C24" s="307">
        <f>SUM(C21:C23)</f>
        <v>0.25697600000000004</v>
      </c>
    </row>
    <row r="25" spans="1:3">
      <c r="A25" s="299" t="s">
        <v>578</v>
      </c>
      <c r="B25" s="296" t="s">
        <v>579</v>
      </c>
      <c r="C25" s="305">
        <f>(C14-C6)*C18</f>
        <v>1.3741000000000001E-2</v>
      </c>
    </row>
    <row r="26" spans="1:3">
      <c r="A26" s="299" t="s">
        <v>580</v>
      </c>
      <c r="B26" s="296" t="s">
        <v>581</v>
      </c>
      <c r="C26" s="305">
        <f>(C14-C6)*C23</f>
        <v>1.3741000000000001E-2</v>
      </c>
    </row>
    <row r="27" spans="1:3">
      <c r="A27" s="298" t="s">
        <v>582</v>
      </c>
      <c r="B27" s="302" t="s">
        <v>583</v>
      </c>
      <c r="C27" s="307">
        <f>SUM(C25:C26)</f>
        <v>2.7482000000000003E-2</v>
      </c>
    </row>
    <row r="28" spans="1:3">
      <c r="A28" s="308"/>
      <c r="B28" s="309" t="s">
        <v>584</v>
      </c>
      <c r="C28" s="310">
        <f>C14+C20+C24+C27</f>
        <v>0.76045800000000008</v>
      </c>
    </row>
    <row r="29" spans="1:3">
      <c r="A29" s="296"/>
      <c r="B29" s="296"/>
      <c r="C29" s="296"/>
    </row>
    <row r="30" spans="1:3">
      <c r="A30" s="295" t="s">
        <v>585</v>
      </c>
      <c r="B30" s="296"/>
      <c r="C30" s="296"/>
    </row>
    <row r="31" spans="1:3">
      <c r="A31" s="296"/>
      <c r="B31" s="296"/>
      <c r="C31" s="296"/>
    </row>
    <row r="32" spans="1:3">
      <c r="A32" s="295" t="s">
        <v>536</v>
      </c>
      <c r="B32" s="296"/>
      <c r="C32" s="296"/>
    </row>
    <row r="33" spans="1:3">
      <c r="A33" s="297"/>
      <c r="B33" s="297"/>
      <c r="C33" s="298" t="s">
        <v>537</v>
      </c>
    </row>
    <row r="34" spans="1:3">
      <c r="A34" s="299" t="s">
        <v>538</v>
      </c>
      <c r="B34" s="296" t="s">
        <v>539</v>
      </c>
      <c r="C34" s="300">
        <v>0.1</v>
      </c>
    </row>
    <row r="35" spans="1:3">
      <c r="A35" s="299" t="s">
        <v>540</v>
      </c>
      <c r="B35" s="296" t="s">
        <v>541</v>
      </c>
      <c r="C35" s="300">
        <v>0.08</v>
      </c>
    </row>
    <row r="36" spans="1:3">
      <c r="A36" s="299" t="s">
        <v>542</v>
      </c>
      <c r="B36" s="296" t="s">
        <v>543</v>
      </c>
      <c r="C36" s="300">
        <v>0</v>
      </c>
    </row>
    <row r="37" spans="1:3">
      <c r="A37" s="299" t="s">
        <v>544</v>
      </c>
      <c r="B37" s="296" t="s">
        <v>545</v>
      </c>
      <c r="C37" s="300">
        <v>0</v>
      </c>
    </row>
    <row r="38" spans="1:3">
      <c r="A38" s="299" t="s">
        <v>546</v>
      </c>
      <c r="B38" s="296" t="s">
        <v>547</v>
      </c>
      <c r="C38" s="300">
        <v>0</v>
      </c>
    </row>
    <row r="39" spans="1:3">
      <c r="A39" s="299" t="s">
        <v>548</v>
      </c>
      <c r="B39" s="296" t="s">
        <v>549</v>
      </c>
      <c r="C39" s="300">
        <v>0</v>
      </c>
    </row>
    <row r="40" spans="1:3">
      <c r="A40" s="299" t="s">
        <v>550</v>
      </c>
      <c r="B40" s="296" t="s">
        <v>551</v>
      </c>
      <c r="C40" s="300">
        <v>0</v>
      </c>
    </row>
    <row r="41" spans="1:3">
      <c r="A41" s="299" t="s">
        <v>552</v>
      </c>
      <c r="B41" s="296" t="s">
        <v>553</v>
      </c>
      <c r="C41" s="300">
        <v>0.03</v>
      </c>
    </row>
    <row r="42" spans="1:3" ht="32">
      <c r="A42" s="299" t="s">
        <v>554</v>
      </c>
      <c r="B42" s="301" t="s">
        <v>555</v>
      </c>
      <c r="C42" s="300">
        <v>0</v>
      </c>
    </row>
    <row r="43" spans="1:3">
      <c r="A43" s="298" t="s">
        <v>556</v>
      </c>
      <c r="B43" s="302" t="s">
        <v>557</v>
      </c>
      <c r="C43" s="303">
        <f>SUM(C34:C42)</f>
        <v>0.21</v>
      </c>
    </row>
    <row r="44" spans="1:3">
      <c r="A44" s="299" t="s">
        <v>558</v>
      </c>
      <c r="B44" s="296" t="s">
        <v>559</v>
      </c>
      <c r="C44" s="304">
        <v>0.129</v>
      </c>
    </row>
    <row r="45" spans="1:3">
      <c r="A45" s="299" t="s">
        <v>560</v>
      </c>
      <c r="B45" s="296" t="s">
        <v>561</v>
      </c>
      <c r="C45" s="305">
        <v>7.9000000000000008E-3</v>
      </c>
    </row>
    <row r="46" spans="1:3">
      <c r="A46" s="299" t="s">
        <v>562</v>
      </c>
      <c r="B46" s="296" t="s">
        <v>563</v>
      </c>
      <c r="C46" s="305">
        <v>3.3999999999999998E-3</v>
      </c>
    </row>
    <row r="47" spans="1:3">
      <c r="A47" s="299" t="s">
        <v>564</v>
      </c>
      <c r="B47" s="296" t="s">
        <v>565</v>
      </c>
      <c r="C47" s="305">
        <v>0</v>
      </c>
    </row>
    <row r="48" spans="1:3" ht="32">
      <c r="A48" s="299" t="s">
        <v>566</v>
      </c>
      <c r="B48" s="306" t="s">
        <v>586</v>
      </c>
      <c r="C48" s="305">
        <v>0.02</v>
      </c>
    </row>
    <row r="49" spans="1:3">
      <c r="A49" s="298" t="s">
        <v>568</v>
      </c>
      <c r="B49" s="302" t="s">
        <v>569</v>
      </c>
      <c r="C49" s="307">
        <f>SUM(C44:C48)</f>
        <v>0.16029999999999997</v>
      </c>
    </row>
    <row r="50" spans="1:3">
      <c r="A50" s="299" t="s">
        <v>570</v>
      </c>
      <c r="B50" s="296" t="s">
        <v>587</v>
      </c>
      <c r="C50" s="305">
        <f>((C35)+(C35*C49))*45%</f>
        <v>4.1770800000000004E-2</v>
      </c>
    </row>
    <row r="51" spans="1:3">
      <c r="A51" s="299" t="s">
        <v>572</v>
      </c>
      <c r="B51" s="296" t="s">
        <v>573</v>
      </c>
      <c r="C51" s="305">
        <v>0</v>
      </c>
    </row>
    <row r="52" spans="1:3">
      <c r="A52" s="299" t="s">
        <v>574</v>
      </c>
      <c r="B52" s="296" t="s">
        <v>575</v>
      </c>
      <c r="C52" s="305">
        <v>0</v>
      </c>
    </row>
    <row r="53" spans="1:3">
      <c r="A53" s="298" t="s">
        <v>576</v>
      </c>
      <c r="B53" s="302" t="s">
        <v>577</v>
      </c>
      <c r="C53" s="307">
        <f>SUM(C50:C52)</f>
        <v>4.1770800000000004E-2</v>
      </c>
    </row>
    <row r="54" spans="1:3">
      <c r="A54" s="299" t="s">
        <v>578</v>
      </c>
      <c r="B54" s="296" t="s">
        <v>579</v>
      </c>
      <c r="C54" s="305">
        <f>(C43-C35)*C47</f>
        <v>0</v>
      </c>
    </row>
    <row r="55" spans="1:3">
      <c r="A55" s="299" t="s">
        <v>580</v>
      </c>
      <c r="B55" s="296" t="s">
        <v>581</v>
      </c>
      <c r="C55" s="305">
        <f>(C43-C35)*C52</f>
        <v>0</v>
      </c>
    </row>
    <row r="56" spans="1:3">
      <c r="A56" s="298" t="s">
        <v>582</v>
      </c>
      <c r="B56" s="302" t="s">
        <v>583</v>
      </c>
      <c r="C56" s="307">
        <f>SUM(C54:C55)</f>
        <v>0</v>
      </c>
    </row>
    <row r="57" spans="1:3">
      <c r="A57" s="308"/>
      <c r="B57" s="309" t="s">
        <v>584</v>
      </c>
      <c r="C57" s="310">
        <f>C43+C49+C53+C56</f>
        <v>0.41207079999999996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4"/>
  <sheetViews>
    <sheetView topLeftCell="A11" workbookViewId="0">
      <selection activeCell="C32" sqref="C32"/>
    </sheetView>
  </sheetViews>
  <sheetFormatPr baseColWidth="10" defaultColWidth="8.83203125" defaultRowHeight="15"/>
  <cols>
    <col min="1" max="1" width="41.6640625" bestFit="1" customWidth="1"/>
    <col min="2" max="2" width="25.5" bestFit="1" customWidth="1"/>
    <col min="3" max="3" width="24.33203125" bestFit="1" customWidth="1"/>
    <col min="4" max="8" width="18.83203125" bestFit="1" customWidth="1"/>
    <col min="9" max="9" width="19" bestFit="1" customWidth="1"/>
    <col min="10" max="16" width="18.83203125" bestFit="1" customWidth="1"/>
    <col min="17" max="18" width="17.6640625" bestFit="1" customWidth="1"/>
    <col min="19" max="22" width="18.83203125" bestFit="1" customWidth="1"/>
    <col min="23" max="27" width="15.5" bestFit="1" customWidth="1"/>
  </cols>
  <sheetData>
    <row r="1" spans="1:27">
      <c r="A1" s="469" t="s">
        <v>158</v>
      </c>
      <c r="B1" s="469"/>
      <c r="C1" s="469"/>
      <c r="D1" s="469"/>
      <c r="E1" s="469"/>
      <c r="F1" s="469"/>
      <c r="G1" s="88"/>
      <c r="H1" s="89"/>
      <c r="I1" s="89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7">
      <c r="A2" s="396" t="s">
        <v>761</v>
      </c>
      <c r="B2" s="397">
        <v>6.9199999999999998E-2</v>
      </c>
      <c r="C2" s="398" t="s">
        <v>762</v>
      </c>
      <c r="D2" s="91"/>
      <c r="E2" s="91"/>
      <c r="F2" s="91"/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7">
      <c r="B3" s="10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27">
      <c r="A4" s="106" t="s">
        <v>162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7">
      <c r="A5" s="5"/>
      <c r="B5" s="100" t="s">
        <v>177</v>
      </c>
      <c r="C5" s="103" t="s">
        <v>129</v>
      </c>
      <c r="D5" s="102" t="s">
        <v>130</v>
      </c>
      <c r="E5" s="102" t="s">
        <v>131</v>
      </c>
      <c r="F5" s="102" t="s">
        <v>132</v>
      </c>
      <c r="G5" s="102" t="s">
        <v>133</v>
      </c>
      <c r="H5" s="102" t="s">
        <v>134</v>
      </c>
      <c r="I5" s="102" t="s">
        <v>135</v>
      </c>
      <c r="J5" s="102" t="s">
        <v>136</v>
      </c>
      <c r="K5" s="102" t="s">
        <v>137</v>
      </c>
      <c r="L5" s="102" t="s">
        <v>138</v>
      </c>
      <c r="M5" s="102" t="s">
        <v>139</v>
      </c>
      <c r="N5" s="102" t="s">
        <v>140</v>
      </c>
      <c r="O5" s="102" t="s">
        <v>141</v>
      </c>
      <c r="P5" s="102" t="s">
        <v>142</v>
      </c>
      <c r="Q5" s="102" t="s">
        <v>143</v>
      </c>
      <c r="R5" s="102" t="s">
        <v>144</v>
      </c>
      <c r="S5" s="102" t="s">
        <v>145</v>
      </c>
      <c r="T5" s="102" t="s">
        <v>146</v>
      </c>
      <c r="U5" s="102" t="s">
        <v>147</v>
      </c>
      <c r="V5" s="102" t="s">
        <v>148</v>
      </c>
      <c r="W5" s="102" t="s">
        <v>149</v>
      </c>
      <c r="X5" s="102" t="s">
        <v>150</v>
      </c>
      <c r="Y5" s="102" t="s">
        <v>151</v>
      </c>
      <c r="Z5" s="102" t="s">
        <v>152</v>
      </c>
      <c r="AA5" s="102" t="s">
        <v>153</v>
      </c>
    </row>
    <row r="6" spans="1:27">
      <c r="A6" t="s">
        <v>163</v>
      </c>
      <c r="B6" s="94">
        <f>((70*12*25*0.5143)+(50*8*20*0.5143)+800)</f>
        <v>15714.699999999999</v>
      </c>
      <c r="C6" s="94">
        <f>B6*12</f>
        <v>188576.4</v>
      </c>
      <c r="D6" s="94">
        <f>C6*(1+$B$2)</f>
        <v>201625.88687999998</v>
      </c>
      <c r="E6" s="94">
        <f t="shared" ref="E6:AA18" si="0">D6*(1+$B$2)</f>
        <v>215578.39825209597</v>
      </c>
      <c r="F6" s="94">
        <f t="shared" si="0"/>
        <v>230496.423411141</v>
      </c>
      <c r="G6" s="94">
        <f t="shared" si="0"/>
        <v>246446.77591119194</v>
      </c>
      <c r="H6" s="94">
        <f t="shared" si="0"/>
        <v>263500.8928042464</v>
      </c>
      <c r="I6" s="94">
        <f t="shared" si="0"/>
        <v>281735.15458630025</v>
      </c>
      <c r="J6" s="94">
        <f t="shared" si="0"/>
        <v>301231.2272836722</v>
      </c>
      <c r="K6" s="94">
        <f t="shared" si="0"/>
        <v>322076.42821170227</v>
      </c>
      <c r="L6" s="94">
        <f t="shared" si="0"/>
        <v>344364.11704395205</v>
      </c>
      <c r="M6" s="94">
        <f t="shared" si="0"/>
        <v>368194.11394339352</v>
      </c>
      <c r="N6" s="94">
        <f t="shared" si="0"/>
        <v>393673.14662827633</v>
      </c>
      <c r="O6" s="94">
        <f t="shared" si="0"/>
        <v>420915.32837495301</v>
      </c>
      <c r="P6" s="94">
        <f t="shared" si="0"/>
        <v>450042.66909849975</v>
      </c>
      <c r="Q6" s="94">
        <f t="shared" si="0"/>
        <v>481185.62180011591</v>
      </c>
      <c r="R6" s="94">
        <f t="shared" si="0"/>
        <v>514483.66682868393</v>
      </c>
      <c r="S6" s="94">
        <f t="shared" si="0"/>
        <v>550085.9365732288</v>
      </c>
      <c r="T6" s="94">
        <f t="shared" si="0"/>
        <v>588151.8833840962</v>
      </c>
      <c r="U6" s="94">
        <f t="shared" si="0"/>
        <v>628851.99371427565</v>
      </c>
      <c r="V6" s="94">
        <f t="shared" si="0"/>
        <v>672368.55167930352</v>
      </c>
      <c r="W6" s="94">
        <f t="shared" si="0"/>
        <v>718896.45545551123</v>
      </c>
      <c r="X6" s="94">
        <f t="shared" si="0"/>
        <v>768644.0901730326</v>
      </c>
      <c r="Y6" s="94">
        <f t="shared" si="0"/>
        <v>821834.26121300645</v>
      </c>
      <c r="Z6" s="94">
        <f t="shared" si="0"/>
        <v>878705.19208894647</v>
      </c>
      <c r="AA6" s="94">
        <f t="shared" si="0"/>
        <v>939511.59138150152</v>
      </c>
    </row>
    <row r="7" spans="1:27">
      <c r="A7" t="s">
        <v>164</v>
      </c>
      <c r="B7" s="94">
        <f>(1000+400)*2</f>
        <v>2800</v>
      </c>
      <c r="C7" s="94">
        <f t="shared" ref="C7:C18" si="1">B7*12</f>
        <v>33600</v>
      </c>
      <c r="D7" s="94">
        <f t="shared" ref="D7:S18" si="2">C7*(1+$B$2)</f>
        <v>35925.119999999995</v>
      </c>
      <c r="E7" s="94">
        <f t="shared" si="2"/>
        <v>38411.138303999993</v>
      </c>
      <c r="F7" s="94">
        <f t="shared" si="2"/>
        <v>41069.189074636786</v>
      </c>
      <c r="G7" s="94">
        <f t="shared" si="2"/>
        <v>43911.176958601645</v>
      </c>
      <c r="H7" s="94">
        <f t="shared" si="2"/>
        <v>46949.830404136876</v>
      </c>
      <c r="I7" s="94">
        <f t="shared" si="2"/>
        <v>50198.758668103146</v>
      </c>
      <c r="J7" s="94">
        <f t="shared" si="2"/>
        <v>53672.512767935877</v>
      </c>
      <c r="K7" s="94">
        <f t="shared" si="2"/>
        <v>57386.650651477037</v>
      </c>
      <c r="L7" s="94">
        <f t="shared" si="2"/>
        <v>61357.806876559247</v>
      </c>
      <c r="M7" s="94">
        <f t="shared" si="2"/>
        <v>65603.767112417147</v>
      </c>
      <c r="N7" s="94">
        <f t="shared" si="2"/>
        <v>70143.547796596409</v>
      </c>
      <c r="O7" s="94">
        <f t="shared" si="2"/>
        <v>74997.481304120869</v>
      </c>
      <c r="P7" s="94">
        <f t="shared" si="2"/>
        <v>80187.307010366028</v>
      </c>
      <c r="Q7" s="94">
        <f t="shared" si="2"/>
        <v>85736.268655483349</v>
      </c>
      <c r="R7" s="94">
        <f t="shared" si="2"/>
        <v>91669.218446442785</v>
      </c>
      <c r="S7" s="94">
        <f t="shared" si="2"/>
        <v>98012.728362936614</v>
      </c>
      <c r="T7" s="94">
        <f t="shared" si="0"/>
        <v>104795.20916565182</v>
      </c>
      <c r="U7" s="94">
        <f t="shared" si="0"/>
        <v>112047.03763991491</v>
      </c>
      <c r="V7" s="94">
        <f t="shared" si="0"/>
        <v>119800.69264459702</v>
      </c>
      <c r="W7" s="94">
        <f t="shared" si="0"/>
        <v>128090.90057560313</v>
      </c>
      <c r="X7" s="94">
        <f t="shared" si="0"/>
        <v>136954.79089543485</v>
      </c>
      <c r="Y7" s="94">
        <f t="shared" si="0"/>
        <v>146432.06242539894</v>
      </c>
      <c r="Z7" s="94">
        <f t="shared" si="0"/>
        <v>156565.16114523655</v>
      </c>
      <c r="AA7" s="94">
        <f t="shared" si="0"/>
        <v>167399.47029648689</v>
      </c>
    </row>
    <row r="8" spans="1:27">
      <c r="A8" t="s">
        <v>165</v>
      </c>
      <c r="B8" s="94">
        <f>2*650</f>
        <v>1300</v>
      </c>
      <c r="C8" s="94">
        <f t="shared" si="1"/>
        <v>15600</v>
      </c>
      <c r="D8" s="94">
        <f t="shared" si="2"/>
        <v>16679.52</v>
      </c>
      <c r="E8" s="94">
        <f t="shared" si="0"/>
        <v>17833.742783999998</v>
      </c>
      <c r="F8" s="94">
        <f t="shared" si="0"/>
        <v>19067.837784652798</v>
      </c>
      <c r="G8" s="94">
        <f t="shared" si="0"/>
        <v>20387.332159350772</v>
      </c>
      <c r="H8" s="94">
        <f t="shared" si="0"/>
        <v>21798.135544777844</v>
      </c>
      <c r="I8" s="94">
        <f t="shared" si="0"/>
        <v>23306.566524476468</v>
      </c>
      <c r="J8" s="94">
        <f t="shared" si="0"/>
        <v>24919.380927970236</v>
      </c>
      <c r="K8" s="94">
        <f t="shared" si="0"/>
        <v>26643.802088185774</v>
      </c>
      <c r="L8" s="94">
        <f t="shared" si="0"/>
        <v>28487.553192688229</v>
      </c>
      <c r="M8" s="94">
        <f t="shared" si="0"/>
        <v>30458.891873622251</v>
      </c>
      <c r="N8" s="94">
        <f t="shared" si="0"/>
        <v>32566.647191276908</v>
      </c>
      <c r="O8" s="94">
        <f t="shared" si="0"/>
        <v>34820.25917691327</v>
      </c>
      <c r="P8" s="94">
        <f t="shared" si="0"/>
        <v>37229.821111955665</v>
      </c>
      <c r="Q8" s="94">
        <f t="shared" si="0"/>
        <v>39806.124732902994</v>
      </c>
      <c r="R8" s="94">
        <f t="shared" si="0"/>
        <v>42560.708564419881</v>
      </c>
      <c r="S8" s="94">
        <f t="shared" si="0"/>
        <v>45505.909597077734</v>
      </c>
      <c r="T8" s="94">
        <f t="shared" si="0"/>
        <v>48654.918541195511</v>
      </c>
      <c r="U8" s="94">
        <f t="shared" si="0"/>
        <v>52021.838904246237</v>
      </c>
      <c r="V8" s="94">
        <f t="shared" si="0"/>
        <v>55621.750156420072</v>
      </c>
      <c r="W8" s="94">
        <f t="shared" si="0"/>
        <v>59470.775267244338</v>
      </c>
      <c r="X8" s="94">
        <f t="shared" si="0"/>
        <v>63586.152915737643</v>
      </c>
      <c r="Y8" s="94">
        <f t="shared" si="0"/>
        <v>67986.314697506677</v>
      </c>
      <c r="Z8" s="94">
        <f t="shared" si="0"/>
        <v>72690.967674574131</v>
      </c>
      <c r="AA8" s="94">
        <f t="shared" si="0"/>
        <v>77721.182637654652</v>
      </c>
    </row>
    <row r="9" spans="1:27">
      <c r="A9" t="s">
        <v>671</v>
      </c>
      <c r="B9" s="94">
        <f>2*1500</f>
        <v>3000</v>
      </c>
      <c r="C9" s="94">
        <f t="shared" si="1"/>
        <v>36000</v>
      </c>
      <c r="D9" s="94">
        <f t="shared" si="2"/>
        <v>38491.199999999997</v>
      </c>
      <c r="E9" s="94">
        <f t="shared" si="0"/>
        <v>41154.791039999996</v>
      </c>
      <c r="F9" s="94">
        <f t="shared" si="0"/>
        <v>44002.70257996799</v>
      </c>
      <c r="G9" s="94">
        <f t="shared" si="0"/>
        <v>47047.689598501769</v>
      </c>
      <c r="H9" s="94">
        <f t="shared" si="0"/>
        <v>50303.389718718085</v>
      </c>
      <c r="I9" s="94">
        <f t="shared" si="0"/>
        <v>53784.384287253371</v>
      </c>
      <c r="J9" s="94">
        <f t="shared" si="0"/>
        <v>57506.263679931304</v>
      </c>
      <c r="K9" s="94">
        <f t="shared" si="0"/>
        <v>61485.697126582549</v>
      </c>
      <c r="L9" s="94">
        <f t="shared" si="0"/>
        <v>65740.507367742059</v>
      </c>
      <c r="M9" s="94">
        <f t="shared" si="0"/>
        <v>70289.750477589798</v>
      </c>
      <c r="N9" s="94">
        <f t="shared" si="0"/>
        <v>75153.801210639009</v>
      </c>
      <c r="O9" s="94">
        <f t="shared" si="0"/>
        <v>80354.444254415226</v>
      </c>
      <c r="P9" s="94">
        <f t="shared" si="0"/>
        <v>85914.971796820755</v>
      </c>
      <c r="Q9" s="94">
        <f t="shared" si="0"/>
        <v>91860.287845160739</v>
      </c>
      <c r="R9" s="94">
        <f t="shared" si="0"/>
        <v>98217.01976404585</v>
      </c>
      <c r="S9" s="94">
        <f t="shared" si="0"/>
        <v>105013.63753171782</v>
      </c>
      <c r="T9" s="94">
        <f t="shared" si="0"/>
        <v>112280.58124891268</v>
      </c>
      <c r="U9" s="94">
        <f t="shared" si="0"/>
        <v>120050.39747133743</v>
      </c>
      <c r="V9" s="94">
        <f t="shared" si="0"/>
        <v>128357.88497635398</v>
      </c>
      <c r="W9" s="94">
        <f t="shared" si="0"/>
        <v>137240.25061671768</v>
      </c>
      <c r="X9" s="94">
        <f t="shared" si="0"/>
        <v>146737.27595939452</v>
      </c>
      <c r="Y9" s="94">
        <f t="shared" si="0"/>
        <v>156891.49545578461</v>
      </c>
      <c r="Z9" s="94">
        <f t="shared" si="0"/>
        <v>167748.38694132489</v>
      </c>
      <c r="AA9" s="94">
        <f t="shared" si="0"/>
        <v>179356.57531766457</v>
      </c>
    </row>
    <row r="10" spans="1:27">
      <c r="A10" t="s">
        <v>166</v>
      </c>
      <c r="B10" s="94">
        <f>(3000+100)*2</f>
        <v>6200</v>
      </c>
      <c r="C10" s="94">
        <f t="shared" si="1"/>
        <v>74400</v>
      </c>
      <c r="D10" s="94">
        <f t="shared" si="2"/>
        <v>79548.479999999996</v>
      </c>
      <c r="E10" s="94">
        <f t="shared" si="0"/>
        <v>85053.234815999996</v>
      </c>
      <c r="F10" s="94">
        <f t="shared" si="0"/>
        <v>90938.918665267192</v>
      </c>
      <c r="G10" s="94">
        <f t="shared" si="0"/>
        <v>97231.891836903669</v>
      </c>
      <c r="H10" s="94">
        <f t="shared" si="0"/>
        <v>103960.3387520174</v>
      </c>
      <c r="I10" s="94">
        <f t="shared" si="0"/>
        <v>111154.39419365699</v>
      </c>
      <c r="J10" s="94">
        <f t="shared" si="0"/>
        <v>118846.27827185804</v>
      </c>
      <c r="K10" s="94">
        <f t="shared" si="0"/>
        <v>127070.44072827061</v>
      </c>
      <c r="L10" s="94">
        <f t="shared" si="0"/>
        <v>135863.71522666691</v>
      </c>
      <c r="M10" s="94">
        <f t="shared" si="0"/>
        <v>145265.48432035226</v>
      </c>
      <c r="N10" s="94">
        <f t="shared" si="0"/>
        <v>155317.85583532063</v>
      </c>
      <c r="O10" s="94">
        <f t="shared" si="0"/>
        <v>166065.85145912479</v>
      </c>
      <c r="P10" s="94">
        <f t="shared" si="0"/>
        <v>177557.60838009621</v>
      </c>
      <c r="Q10" s="94">
        <f t="shared" si="0"/>
        <v>189844.59487999885</v>
      </c>
      <c r="R10" s="94">
        <f t="shared" si="0"/>
        <v>202981.84084569477</v>
      </c>
      <c r="S10" s="94">
        <f t="shared" si="0"/>
        <v>217028.18423221682</v>
      </c>
      <c r="T10" s="94">
        <f t="shared" si="0"/>
        <v>232046.53458108622</v>
      </c>
      <c r="U10" s="94">
        <f t="shared" si="0"/>
        <v>248104.15477409738</v>
      </c>
      <c r="V10" s="94">
        <f t="shared" si="0"/>
        <v>265272.96228446491</v>
      </c>
      <c r="W10" s="94">
        <f t="shared" si="0"/>
        <v>283629.85127454984</v>
      </c>
      <c r="X10" s="94">
        <f t="shared" si="0"/>
        <v>303257.03698274866</v>
      </c>
      <c r="Y10" s="94">
        <f t="shared" si="0"/>
        <v>324242.42394195485</v>
      </c>
      <c r="Z10" s="94">
        <f t="shared" si="0"/>
        <v>346679.99967873812</v>
      </c>
      <c r="AA10" s="94">
        <f t="shared" si="0"/>
        <v>370670.25565650675</v>
      </c>
    </row>
    <row r="11" spans="1:27">
      <c r="A11" t="s">
        <v>167</v>
      </c>
      <c r="B11" s="94">
        <f>998*2</f>
        <v>1996</v>
      </c>
      <c r="C11" s="94">
        <f t="shared" si="1"/>
        <v>23952</v>
      </c>
      <c r="D11" s="94">
        <f t="shared" si="2"/>
        <v>25609.4784</v>
      </c>
      <c r="E11" s="94">
        <f t="shared" si="0"/>
        <v>27381.654305279997</v>
      </c>
      <c r="F11" s="94">
        <f t="shared" si="0"/>
        <v>29276.464783205371</v>
      </c>
      <c r="G11" s="94">
        <f t="shared" si="0"/>
        <v>31302.39614620318</v>
      </c>
      <c r="H11" s="94">
        <f t="shared" si="0"/>
        <v>33468.52195952044</v>
      </c>
      <c r="I11" s="94">
        <f t="shared" si="0"/>
        <v>35784.543679119255</v>
      </c>
      <c r="J11" s="94">
        <f t="shared" si="0"/>
        <v>38260.834101714303</v>
      </c>
      <c r="K11" s="94">
        <f t="shared" si="0"/>
        <v>40908.483821552931</v>
      </c>
      <c r="L11" s="94">
        <f t="shared" si="0"/>
        <v>43739.350902004393</v>
      </c>
      <c r="M11" s="94">
        <f t="shared" si="0"/>
        <v>46766.113984423093</v>
      </c>
      <c r="N11" s="94">
        <f t="shared" si="0"/>
        <v>50002.32907214517</v>
      </c>
      <c r="O11" s="94">
        <f t="shared" si="0"/>
        <v>53462.490243937609</v>
      </c>
      <c r="P11" s="94">
        <f t="shared" si="0"/>
        <v>57162.094568818087</v>
      </c>
      <c r="Q11" s="94">
        <f t="shared" si="0"/>
        <v>61117.711512980291</v>
      </c>
      <c r="R11" s="94">
        <f t="shared" si="0"/>
        <v>65347.05714967852</v>
      </c>
      <c r="S11" s="94">
        <f t="shared" si="0"/>
        <v>69869.073504436266</v>
      </c>
      <c r="T11" s="94">
        <f t="shared" si="0"/>
        <v>74704.013390943248</v>
      </c>
      <c r="U11" s="94">
        <f t="shared" si="0"/>
        <v>79873.531117596518</v>
      </c>
      <c r="V11" s="94">
        <f t="shared" si="0"/>
        <v>85400.779470934198</v>
      </c>
      <c r="W11" s="94">
        <f t="shared" si="0"/>
        <v>91310.513410322834</v>
      </c>
      <c r="X11" s="94">
        <f t="shared" si="0"/>
        <v>97629.200938317168</v>
      </c>
      <c r="Y11" s="94">
        <f t="shared" si="0"/>
        <v>104385.1416432487</v>
      </c>
      <c r="Z11" s="94">
        <f t="shared" si="0"/>
        <v>111608.5934449615</v>
      </c>
      <c r="AA11" s="94">
        <f t="shared" si="0"/>
        <v>119331.90811135282</v>
      </c>
    </row>
    <row r="12" spans="1:27">
      <c r="A12" t="s">
        <v>168</v>
      </c>
      <c r="B12" s="94">
        <f>2*2500</f>
        <v>5000</v>
      </c>
      <c r="C12" s="94">
        <f t="shared" si="1"/>
        <v>60000</v>
      </c>
      <c r="D12" s="94">
        <f t="shared" si="2"/>
        <v>64151.999999999993</v>
      </c>
      <c r="E12" s="94">
        <f t="shared" si="0"/>
        <v>68591.318399999989</v>
      </c>
      <c r="F12" s="94">
        <f t="shared" si="0"/>
        <v>73337.837633279982</v>
      </c>
      <c r="G12" s="94">
        <f t="shared" si="0"/>
        <v>78412.815997502956</v>
      </c>
      <c r="H12" s="94">
        <f t="shared" si="0"/>
        <v>83838.98286453016</v>
      </c>
      <c r="I12" s="94">
        <f t="shared" si="0"/>
        <v>89640.640478755638</v>
      </c>
      <c r="J12" s="94">
        <f t="shared" si="0"/>
        <v>95843.772799885526</v>
      </c>
      <c r="K12" s="94">
        <f t="shared" si="0"/>
        <v>102476.1618776376</v>
      </c>
      <c r="L12" s="94">
        <f t="shared" si="0"/>
        <v>109567.51227957012</v>
      </c>
      <c r="M12" s="94">
        <f t="shared" si="0"/>
        <v>117149.58412931637</v>
      </c>
      <c r="N12" s="94">
        <f t="shared" si="0"/>
        <v>125256.33535106505</v>
      </c>
      <c r="O12" s="94">
        <f t="shared" si="0"/>
        <v>133924.07375735874</v>
      </c>
      <c r="P12" s="94">
        <f t="shared" si="0"/>
        <v>143191.61966136796</v>
      </c>
      <c r="Q12" s="94">
        <f t="shared" si="0"/>
        <v>153100.47974193463</v>
      </c>
      <c r="R12" s="94">
        <f t="shared" si="0"/>
        <v>163695.03294007649</v>
      </c>
      <c r="S12" s="94">
        <f t="shared" si="0"/>
        <v>175022.72921952978</v>
      </c>
      <c r="T12" s="94">
        <f t="shared" si="0"/>
        <v>187134.30208152122</v>
      </c>
      <c r="U12" s="94">
        <f t="shared" si="0"/>
        <v>200083.99578556247</v>
      </c>
      <c r="V12" s="94">
        <f t="shared" si="0"/>
        <v>213929.80829392339</v>
      </c>
      <c r="W12" s="94">
        <f t="shared" si="0"/>
        <v>228733.75102786286</v>
      </c>
      <c r="X12" s="94">
        <f t="shared" si="0"/>
        <v>244562.12659899096</v>
      </c>
      <c r="Y12" s="94">
        <f t="shared" si="0"/>
        <v>261485.82575964113</v>
      </c>
      <c r="Z12" s="94">
        <f t="shared" si="0"/>
        <v>279580.6449022083</v>
      </c>
      <c r="AA12" s="94">
        <f t="shared" si="0"/>
        <v>298927.62552944111</v>
      </c>
    </row>
    <row r="13" spans="1:27">
      <c r="A13" t="s">
        <v>169</v>
      </c>
      <c r="B13" s="94">
        <f>2*250</f>
        <v>500</v>
      </c>
      <c r="C13" s="94">
        <f t="shared" si="1"/>
        <v>6000</v>
      </c>
      <c r="D13" s="94">
        <f t="shared" si="2"/>
        <v>6415.2</v>
      </c>
      <c r="E13" s="94">
        <f t="shared" si="0"/>
        <v>6859.1318399999991</v>
      </c>
      <c r="F13" s="94">
        <f t="shared" si="0"/>
        <v>7333.7837633279987</v>
      </c>
      <c r="G13" s="94">
        <f t="shared" si="0"/>
        <v>7841.2815997502958</v>
      </c>
      <c r="H13" s="94">
        <f t="shared" si="0"/>
        <v>8383.8982864530153</v>
      </c>
      <c r="I13" s="94">
        <f t="shared" si="0"/>
        <v>8964.0640478755631</v>
      </c>
      <c r="J13" s="94">
        <f t="shared" si="0"/>
        <v>9584.3772799885519</v>
      </c>
      <c r="K13" s="94">
        <f t="shared" si="0"/>
        <v>10247.616187763759</v>
      </c>
      <c r="L13" s="94">
        <f t="shared" si="0"/>
        <v>10956.751227957009</v>
      </c>
      <c r="M13" s="94">
        <f t="shared" si="0"/>
        <v>11714.958412931634</v>
      </c>
      <c r="N13" s="94">
        <f t="shared" si="0"/>
        <v>12525.633535106503</v>
      </c>
      <c r="O13" s="94">
        <f t="shared" si="0"/>
        <v>13392.407375735871</v>
      </c>
      <c r="P13" s="94">
        <f t="shared" si="0"/>
        <v>14319.161966136793</v>
      </c>
      <c r="Q13" s="94">
        <f t="shared" si="0"/>
        <v>15310.047974193458</v>
      </c>
      <c r="R13" s="94">
        <f t="shared" si="0"/>
        <v>16369.503294007643</v>
      </c>
      <c r="S13" s="94">
        <f t="shared" si="0"/>
        <v>17502.272921952972</v>
      </c>
      <c r="T13" s="94">
        <f t="shared" si="0"/>
        <v>18713.430208152116</v>
      </c>
      <c r="U13" s="94">
        <f t="shared" si="0"/>
        <v>20008.39957855624</v>
      </c>
      <c r="V13" s="94">
        <f t="shared" si="0"/>
        <v>21392.980829392331</v>
      </c>
      <c r="W13" s="94">
        <f t="shared" si="0"/>
        <v>22873.375102786278</v>
      </c>
      <c r="X13" s="94">
        <f t="shared" si="0"/>
        <v>24456.212659899087</v>
      </c>
      <c r="Y13" s="94">
        <f t="shared" si="0"/>
        <v>26148.582575964101</v>
      </c>
      <c r="Z13" s="94">
        <f t="shared" si="0"/>
        <v>27958.064490220815</v>
      </c>
      <c r="AA13" s="94">
        <f t="shared" si="0"/>
        <v>29892.762552944092</v>
      </c>
    </row>
    <row r="14" spans="1:27">
      <c r="A14" t="s">
        <v>744</v>
      </c>
      <c r="B14" s="94">
        <f>2*3000</f>
        <v>6000</v>
      </c>
      <c r="C14" s="94">
        <f t="shared" si="1"/>
        <v>72000</v>
      </c>
      <c r="D14" s="94">
        <f t="shared" si="2"/>
        <v>76982.399999999994</v>
      </c>
      <c r="E14" s="94">
        <f t="shared" si="0"/>
        <v>82309.582079999993</v>
      </c>
      <c r="F14" s="94">
        <f t="shared" si="0"/>
        <v>88005.405159935981</v>
      </c>
      <c r="G14" s="94">
        <f t="shared" si="0"/>
        <v>94095.379197003538</v>
      </c>
      <c r="H14" s="94">
        <f t="shared" si="0"/>
        <v>100606.77943743617</v>
      </c>
      <c r="I14" s="94">
        <f t="shared" si="0"/>
        <v>107568.76857450674</v>
      </c>
      <c r="J14" s="94">
        <f t="shared" si="0"/>
        <v>115012.52735986261</v>
      </c>
      <c r="K14" s="94">
        <f t="shared" si="0"/>
        <v>122971.3942531651</v>
      </c>
      <c r="L14" s="94">
        <f t="shared" si="0"/>
        <v>131481.01473548412</v>
      </c>
      <c r="M14" s="94">
        <f t="shared" si="0"/>
        <v>140579.5009551796</v>
      </c>
      <c r="N14" s="94">
        <f t="shared" si="0"/>
        <v>150307.60242127802</v>
      </c>
      <c r="O14" s="94">
        <f t="shared" si="0"/>
        <v>160708.88850883045</v>
      </c>
      <c r="P14" s="94">
        <f t="shared" si="0"/>
        <v>171829.94359364151</v>
      </c>
      <c r="Q14" s="94">
        <f t="shared" si="0"/>
        <v>183720.57569032148</v>
      </c>
      <c r="R14" s="94">
        <f t="shared" si="0"/>
        <v>196434.0395280917</v>
      </c>
      <c r="S14" s="94">
        <f t="shared" si="0"/>
        <v>210027.27506343563</v>
      </c>
      <c r="T14" s="94">
        <f t="shared" si="0"/>
        <v>224561.16249782537</v>
      </c>
      <c r="U14" s="94">
        <f t="shared" si="0"/>
        <v>240100.79494267487</v>
      </c>
      <c r="V14" s="94">
        <f t="shared" si="0"/>
        <v>256715.76995270795</v>
      </c>
      <c r="W14" s="94">
        <f t="shared" si="0"/>
        <v>274480.50123343535</v>
      </c>
      <c r="X14" s="94">
        <f t="shared" si="0"/>
        <v>293474.55191878905</v>
      </c>
      <c r="Y14" s="94">
        <f t="shared" si="0"/>
        <v>313782.99091156921</v>
      </c>
      <c r="Z14" s="94">
        <f t="shared" si="0"/>
        <v>335496.77388264978</v>
      </c>
      <c r="AA14" s="94">
        <f t="shared" si="0"/>
        <v>358713.15063532913</v>
      </c>
    </row>
    <row r="15" spans="1:27">
      <c r="A15" t="s">
        <v>745</v>
      </c>
      <c r="B15" s="94">
        <f>15*121*2</f>
        <v>3630</v>
      </c>
      <c r="C15" s="94">
        <f t="shared" ref="C15" si="3">B15*12</f>
        <v>43560</v>
      </c>
      <c r="D15" s="94">
        <f t="shared" ref="D15" si="4">C15*(1+$B$2)</f>
        <v>46574.351999999999</v>
      </c>
      <c r="E15" s="94">
        <f t="shared" ref="E15" si="5">D15*(1+$B$2)</f>
        <v>49797.297158399997</v>
      </c>
      <c r="F15" s="94">
        <f t="shared" ref="F15" si="6">E15*(1+$B$2)</f>
        <v>53243.27012176127</v>
      </c>
      <c r="G15" s="94">
        <f t="shared" ref="G15" si="7">F15*(1+$B$2)</f>
        <v>56927.704414187145</v>
      </c>
      <c r="H15" s="94">
        <f t="shared" ref="H15" si="8">G15*(1+$B$2)</f>
        <v>60867.101559648894</v>
      </c>
      <c r="I15" s="94">
        <f t="shared" ref="I15" si="9">H15*(1+$B$2)</f>
        <v>65079.104987576597</v>
      </c>
      <c r="J15" s="94">
        <f t="shared" ref="J15" si="10">I15*(1+$B$2)</f>
        <v>69582.579052716887</v>
      </c>
      <c r="K15" s="94">
        <f t="shared" ref="K15" si="11">J15*(1+$B$2)</f>
        <v>74397.693523164897</v>
      </c>
      <c r="L15" s="94">
        <f t="shared" ref="L15" si="12">K15*(1+$B$2)</f>
        <v>79546.013914967902</v>
      </c>
      <c r="M15" s="94">
        <f t="shared" ref="M15" si="13">L15*(1+$B$2)</f>
        <v>85050.598077883682</v>
      </c>
      <c r="N15" s="94">
        <f t="shared" ref="N15" si="14">M15*(1+$B$2)</f>
        <v>90936.09946487323</v>
      </c>
      <c r="O15" s="94">
        <f t="shared" ref="O15" si="15">N15*(1+$B$2)</f>
        <v>97228.87754784245</v>
      </c>
      <c r="P15" s="94">
        <f t="shared" ref="P15" si="16">O15*(1+$B$2)</f>
        <v>103957.11587415314</v>
      </c>
      <c r="Q15" s="94">
        <f t="shared" ref="Q15" si="17">P15*(1+$B$2)</f>
        <v>111150.94829264453</v>
      </c>
      <c r="R15" s="94">
        <f t="shared" ref="R15" si="18">Q15*(1+$B$2)</f>
        <v>118842.59391449553</v>
      </c>
      <c r="S15" s="94">
        <f t="shared" ref="S15" si="19">R15*(1+$B$2)</f>
        <v>127066.50141337862</v>
      </c>
      <c r="T15" s="94">
        <f t="shared" ref="T15" si="20">S15*(1+$B$2)</f>
        <v>135859.50331118441</v>
      </c>
      <c r="U15" s="94">
        <f t="shared" ref="U15" si="21">T15*(1+$B$2)</f>
        <v>145260.98094031838</v>
      </c>
      <c r="V15" s="94">
        <f t="shared" ref="V15" si="22">U15*(1+$B$2)</f>
        <v>155313.04082138839</v>
      </c>
      <c r="W15" s="94">
        <f t="shared" ref="W15" si="23">V15*(1+$B$2)</f>
        <v>166060.70324622846</v>
      </c>
      <c r="X15" s="94">
        <f t="shared" ref="X15" si="24">W15*(1+$B$2)</f>
        <v>177552.10391086744</v>
      </c>
      <c r="Y15" s="94">
        <f t="shared" ref="Y15" si="25">X15*(1+$B$2)</f>
        <v>189838.70950149946</v>
      </c>
      <c r="Z15" s="94">
        <f t="shared" ref="Z15" si="26">Y15*(1+$B$2)</f>
        <v>202975.54819900321</v>
      </c>
      <c r="AA15" s="94">
        <f t="shared" ref="AA15" si="27">Z15*(1+$B$2)</f>
        <v>217021.45613437422</v>
      </c>
    </row>
    <row r="16" spans="1:27">
      <c r="A16" t="s">
        <v>746</v>
      </c>
      <c r="B16" s="94">
        <v>0</v>
      </c>
      <c r="C16" s="94">
        <f t="shared" ref="C16" si="28">B16*12</f>
        <v>0</v>
      </c>
      <c r="D16" s="94">
        <f t="shared" ref="D16" si="29">C16*(1+$B$2)</f>
        <v>0</v>
      </c>
      <c r="E16" s="94">
        <f t="shared" ref="E16" si="30">D16*(1+$B$2)</f>
        <v>0</v>
      </c>
      <c r="F16" s="94">
        <f t="shared" ref="F16" si="31">E16*(1+$B$2)</f>
        <v>0</v>
      </c>
      <c r="G16" s="94">
        <f t="shared" ref="G16" si="32">F16*(1+$B$2)</f>
        <v>0</v>
      </c>
      <c r="H16" s="94">
        <f t="shared" ref="H16" si="33">G16*(1+$B$2)</f>
        <v>0</v>
      </c>
      <c r="I16" s="94">
        <f t="shared" ref="I16" si="34">H16*(1+$B$2)</f>
        <v>0</v>
      </c>
      <c r="J16" s="94">
        <f t="shared" ref="J16" si="35">I16*(1+$B$2)</f>
        <v>0</v>
      </c>
      <c r="K16" s="94">
        <f t="shared" ref="K16" si="36">J16*(1+$B$2)</f>
        <v>0</v>
      </c>
      <c r="L16" s="94">
        <f t="shared" ref="L16" si="37">K16*(1+$B$2)</f>
        <v>0</v>
      </c>
      <c r="M16" s="94">
        <f t="shared" ref="M16" si="38">L16*(1+$B$2)</f>
        <v>0</v>
      </c>
      <c r="N16" s="94">
        <f t="shared" ref="N16" si="39">M16*(1+$B$2)</f>
        <v>0</v>
      </c>
      <c r="O16" s="94">
        <f t="shared" ref="O16" si="40">N16*(1+$B$2)</f>
        <v>0</v>
      </c>
      <c r="P16" s="94">
        <f t="shared" ref="P16" si="41">O16*(1+$B$2)</f>
        <v>0</v>
      </c>
      <c r="Q16" s="94">
        <f t="shared" ref="Q16" si="42">P16*(1+$B$2)</f>
        <v>0</v>
      </c>
      <c r="R16" s="94">
        <f t="shared" ref="R16" si="43">Q16*(1+$B$2)</f>
        <v>0</v>
      </c>
      <c r="S16" s="94">
        <f t="shared" ref="S16" si="44">R16*(1+$B$2)</f>
        <v>0</v>
      </c>
      <c r="T16" s="94">
        <f t="shared" ref="T16" si="45">S16*(1+$B$2)</f>
        <v>0</v>
      </c>
      <c r="U16" s="94">
        <f t="shared" ref="U16" si="46">T16*(1+$B$2)</f>
        <v>0</v>
      </c>
      <c r="V16" s="94">
        <f t="shared" ref="V16" si="47">U16*(1+$B$2)</f>
        <v>0</v>
      </c>
      <c r="W16" s="94">
        <f t="shared" ref="W16" si="48">V16*(1+$B$2)</f>
        <v>0</v>
      </c>
      <c r="X16" s="94">
        <f t="shared" ref="X16" si="49">W16*(1+$B$2)</f>
        <v>0</v>
      </c>
      <c r="Y16" s="94">
        <f t="shared" ref="Y16" si="50">X16*(1+$B$2)</f>
        <v>0</v>
      </c>
      <c r="Z16" s="94">
        <f t="shared" ref="Z16" si="51">Y16*(1+$B$2)</f>
        <v>0</v>
      </c>
      <c r="AA16" s="94">
        <f t="shared" ref="AA16" si="52">Z16*(1+$B$2)</f>
        <v>0</v>
      </c>
    </row>
    <row r="17" spans="1:27">
      <c r="A17" t="s">
        <v>160</v>
      </c>
      <c r="B17" s="94">
        <f>2*2000</f>
        <v>4000</v>
      </c>
      <c r="C17" s="94">
        <f t="shared" si="1"/>
        <v>48000</v>
      </c>
      <c r="D17" s="94">
        <f t="shared" si="2"/>
        <v>51321.599999999999</v>
      </c>
      <c r="E17" s="94">
        <f t="shared" si="0"/>
        <v>54873.054719999993</v>
      </c>
      <c r="F17" s="94">
        <f t="shared" si="0"/>
        <v>58670.27010662399</v>
      </c>
      <c r="G17" s="94">
        <f t="shared" si="0"/>
        <v>62730.252798002366</v>
      </c>
      <c r="H17" s="94">
        <f t="shared" si="0"/>
        <v>67071.186291624123</v>
      </c>
      <c r="I17" s="94">
        <f t="shared" si="0"/>
        <v>71712.512383004505</v>
      </c>
      <c r="J17" s="94">
        <f t="shared" si="0"/>
        <v>76675.018239908415</v>
      </c>
      <c r="K17" s="94">
        <f t="shared" si="0"/>
        <v>81980.92950211007</v>
      </c>
      <c r="L17" s="94">
        <f t="shared" si="0"/>
        <v>87654.009823656073</v>
      </c>
      <c r="M17" s="94">
        <f t="shared" si="0"/>
        <v>93719.667303453069</v>
      </c>
      <c r="N17" s="94">
        <f t="shared" si="0"/>
        <v>100205.06828085202</v>
      </c>
      <c r="O17" s="94">
        <f t="shared" si="0"/>
        <v>107139.25900588697</v>
      </c>
      <c r="P17" s="94">
        <f t="shared" si="0"/>
        <v>114553.29572909435</v>
      </c>
      <c r="Q17" s="94">
        <f t="shared" si="0"/>
        <v>122480.38379354766</v>
      </c>
      <c r="R17" s="94">
        <f t="shared" si="0"/>
        <v>130956.02635206115</v>
      </c>
      <c r="S17" s="94">
        <f t="shared" si="0"/>
        <v>140018.18337562378</v>
      </c>
      <c r="T17" s="94">
        <f t="shared" si="0"/>
        <v>149707.44166521693</v>
      </c>
      <c r="U17" s="94">
        <f t="shared" si="0"/>
        <v>160067.19662844992</v>
      </c>
      <c r="V17" s="94">
        <f t="shared" si="0"/>
        <v>171143.84663513865</v>
      </c>
      <c r="W17" s="94">
        <f t="shared" si="0"/>
        <v>182987.00082229023</v>
      </c>
      <c r="X17" s="94">
        <f t="shared" si="0"/>
        <v>195649.7012791927</v>
      </c>
      <c r="Y17" s="94">
        <f t="shared" si="0"/>
        <v>209188.66060771281</v>
      </c>
      <c r="Z17" s="94">
        <f t="shared" si="0"/>
        <v>223664.51592176652</v>
      </c>
      <c r="AA17" s="94">
        <f t="shared" si="0"/>
        <v>239142.10042355274</v>
      </c>
    </row>
    <row r="18" spans="1:27">
      <c r="A18" t="s">
        <v>170</v>
      </c>
      <c r="B18" s="94">
        <f>((2*20*150)+((300/9)*8*4.59)+1000)*2</f>
        <v>16448</v>
      </c>
      <c r="C18" s="94">
        <f t="shared" si="1"/>
        <v>197376</v>
      </c>
      <c r="D18" s="94">
        <f t="shared" si="2"/>
        <v>211034.41919999997</v>
      </c>
      <c r="E18" s="94">
        <f t="shared" si="0"/>
        <v>225638.00100863996</v>
      </c>
      <c r="F18" s="94">
        <f t="shared" si="0"/>
        <v>241252.15067843781</v>
      </c>
      <c r="G18" s="94">
        <f t="shared" si="0"/>
        <v>257946.79950538569</v>
      </c>
      <c r="H18" s="94">
        <f t="shared" si="0"/>
        <v>275796.71803115838</v>
      </c>
      <c r="I18" s="94">
        <f t="shared" si="0"/>
        <v>294881.85091891454</v>
      </c>
      <c r="J18" s="94">
        <f t="shared" si="0"/>
        <v>315287.67500250338</v>
      </c>
      <c r="K18" s="94">
        <f t="shared" si="0"/>
        <v>337105.58211267658</v>
      </c>
      <c r="L18" s="94">
        <f t="shared" si="0"/>
        <v>360433.28839487379</v>
      </c>
      <c r="M18" s="94">
        <f t="shared" si="0"/>
        <v>385375.27195179905</v>
      </c>
      <c r="N18" s="94">
        <f t="shared" si="0"/>
        <v>412043.24077086349</v>
      </c>
      <c r="O18" s="94">
        <f t="shared" si="0"/>
        <v>440556.6330322072</v>
      </c>
      <c r="P18" s="94">
        <f t="shared" si="0"/>
        <v>471043.15203803591</v>
      </c>
      <c r="Q18" s="94">
        <f t="shared" si="0"/>
        <v>503639.33815906796</v>
      </c>
      <c r="R18" s="94">
        <f t="shared" si="0"/>
        <v>538491.18035967543</v>
      </c>
      <c r="S18" s="94">
        <f t="shared" si="0"/>
        <v>575754.77004056494</v>
      </c>
      <c r="T18" s="94">
        <f t="shared" si="0"/>
        <v>615597.00012737198</v>
      </c>
      <c r="U18" s="94">
        <f t="shared" si="0"/>
        <v>658196.31253618607</v>
      </c>
      <c r="V18" s="94">
        <f t="shared" si="0"/>
        <v>703743.49736369005</v>
      </c>
      <c r="W18" s="94">
        <f t="shared" si="0"/>
        <v>752442.54738125741</v>
      </c>
      <c r="X18" s="94">
        <f t="shared" si="0"/>
        <v>804511.57166004041</v>
      </c>
      <c r="Y18" s="94">
        <f t="shared" si="0"/>
        <v>860183.77241891518</v>
      </c>
      <c r="Z18" s="94">
        <f t="shared" si="0"/>
        <v>919708.48947030399</v>
      </c>
      <c r="AA18" s="94">
        <f t="shared" si="0"/>
        <v>983352.31694164895</v>
      </c>
    </row>
    <row r="20" spans="1:27">
      <c r="A20" s="92" t="s">
        <v>172</v>
      </c>
      <c r="B20" s="95">
        <f>SUM(B6:B19)</f>
        <v>66588.7</v>
      </c>
      <c r="C20" s="95">
        <f t="shared" ref="C20:AA20" si="53">SUM(C6:C19)</f>
        <v>799064.4</v>
      </c>
      <c r="D20" s="95">
        <f t="shared" si="53"/>
        <v>854359.65647999989</v>
      </c>
      <c r="E20" s="95">
        <f t="shared" si="53"/>
        <v>913481.3447084158</v>
      </c>
      <c r="F20" s="95">
        <f t="shared" si="53"/>
        <v>976694.25376223808</v>
      </c>
      <c r="G20" s="95">
        <f t="shared" si="53"/>
        <v>1044281.4961225849</v>
      </c>
      <c r="H20" s="95">
        <f t="shared" si="53"/>
        <v>1116545.7756542678</v>
      </c>
      <c r="I20" s="95">
        <f t="shared" si="53"/>
        <v>1193810.7433295432</v>
      </c>
      <c r="J20" s="95">
        <f t="shared" si="53"/>
        <v>1276422.4467679472</v>
      </c>
      <c r="K20" s="95">
        <f t="shared" si="53"/>
        <v>1364750.8800842892</v>
      </c>
      <c r="L20" s="95">
        <f t="shared" si="53"/>
        <v>1459191.6409861217</v>
      </c>
      <c r="M20" s="95">
        <f t="shared" si="53"/>
        <v>1560167.7025423613</v>
      </c>
      <c r="N20" s="95">
        <f t="shared" si="53"/>
        <v>1668131.3075582925</v>
      </c>
      <c r="O20" s="95">
        <f t="shared" si="53"/>
        <v>1783565.9940413265</v>
      </c>
      <c r="P20" s="95">
        <f t="shared" si="53"/>
        <v>1906988.7608289861</v>
      </c>
      <c r="Q20" s="95">
        <f t="shared" si="53"/>
        <v>2038952.3830783518</v>
      </c>
      <c r="R20" s="95">
        <f t="shared" si="53"/>
        <v>2180047.8879873734</v>
      </c>
      <c r="S20" s="95">
        <f t="shared" si="53"/>
        <v>2330907.2018360998</v>
      </c>
      <c r="T20" s="95">
        <f t="shared" si="53"/>
        <v>2492205.9802031578</v>
      </c>
      <c r="U20" s="95">
        <f t="shared" si="53"/>
        <v>2664666.6340332162</v>
      </c>
      <c r="V20" s="95">
        <f t="shared" si="53"/>
        <v>2849061.5651083151</v>
      </c>
      <c r="W20" s="95">
        <f t="shared" si="53"/>
        <v>3046216.6254138099</v>
      </c>
      <c r="X20" s="95">
        <f t="shared" si="53"/>
        <v>3257014.8158924454</v>
      </c>
      <c r="Y20" s="95">
        <f t="shared" si="53"/>
        <v>3482400.2411522022</v>
      </c>
      <c r="Z20" s="95">
        <f t="shared" si="53"/>
        <v>3723382.337839934</v>
      </c>
      <c r="AA20" s="95">
        <f t="shared" si="53"/>
        <v>3981040.3956184573</v>
      </c>
    </row>
    <row r="21" spans="1:27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>
      <c r="A22" s="105" t="s">
        <v>173</v>
      </c>
      <c r="B22" s="100" t="s">
        <v>177</v>
      </c>
      <c r="C22" s="101" t="s">
        <v>129</v>
      </c>
      <c r="D22" s="102" t="s">
        <v>130</v>
      </c>
      <c r="E22" s="102" t="s">
        <v>131</v>
      </c>
      <c r="F22" s="102" t="s">
        <v>132</v>
      </c>
      <c r="G22" s="102" t="s">
        <v>133</v>
      </c>
      <c r="H22" s="102" t="s">
        <v>134</v>
      </c>
      <c r="I22" s="102" t="s">
        <v>135</v>
      </c>
      <c r="J22" s="102" t="s">
        <v>136</v>
      </c>
      <c r="K22" s="102" t="s">
        <v>137</v>
      </c>
      <c r="L22" s="102" t="s">
        <v>138</v>
      </c>
      <c r="M22" s="102" t="s">
        <v>139</v>
      </c>
      <c r="N22" s="102" t="s">
        <v>140</v>
      </c>
      <c r="O22" s="102" t="s">
        <v>141</v>
      </c>
      <c r="P22" s="102" t="s">
        <v>142</v>
      </c>
      <c r="Q22" s="102" t="s">
        <v>143</v>
      </c>
      <c r="R22" s="102" t="s">
        <v>144</v>
      </c>
      <c r="S22" s="102" t="s">
        <v>145</v>
      </c>
      <c r="T22" s="102" t="s">
        <v>146</v>
      </c>
      <c r="U22" s="102" t="s">
        <v>147</v>
      </c>
      <c r="V22" s="102" t="s">
        <v>148</v>
      </c>
      <c r="W22" s="102" t="s">
        <v>149</v>
      </c>
      <c r="X22" s="102" t="s">
        <v>150</v>
      </c>
      <c r="Y22" s="102" t="s">
        <v>151</v>
      </c>
      <c r="Z22" s="102" t="s">
        <v>152</v>
      </c>
      <c r="AA22" s="102" t="s">
        <v>153</v>
      </c>
    </row>
    <row r="23" spans="1:27">
      <c r="A23" t="s">
        <v>672</v>
      </c>
      <c r="B23" s="94">
        <f>(15000+500+1000)*2</f>
        <v>33000</v>
      </c>
      <c r="C23" s="94">
        <f>B23*12</f>
        <v>396000</v>
      </c>
      <c r="D23" s="94">
        <f>C23*(1+$B$2)</f>
        <v>423403.19999999995</v>
      </c>
      <c r="E23" s="94">
        <f t="shared" ref="E23:AA32" si="54">D23*(1+$B$2)</f>
        <v>452702.70143999992</v>
      </c>
      <c r="F23" s="94">
        <f t="shared" si="54"/>
        <v>484029.72837964789</v>
      </c>
      <c r="G23" s="94">
        <f t="shared" si="54"/>
        <v>517524.58558351948</v>
      </c>
      <c r="H23" s="94">
        <f t="shared" si="54"/>
        <v>553337.28690589895</v>
      </c>
      <c r="I23" s="94">
        <f t="shared" si="54"/>
        <v>591628.22715978709</v>
      </c>
      <c r="J23" s="94">
        <f t="shared" si="54"/>
        <v>632568.9004792443</v>
      </c>
      <c r="K23" s="94">
        <f t="shared" si="54"/>
        <v>676342.66839240794</v>
      </c>
      <c r="L23" s="94">
        <f t="shared" si="54"/>
        <v>723145.58104516251</v>
      </c>
      <c r="M23" s="94">
        <f t="shared" si="54"/>
        <v>773187.25525348773</v>
      </c>
      <c r="N23" s="94">
        <f t="shared" si="54"/>
        <v>826691.81331702904</v>
      </c>
      <c r="O23" s="94">
        <f t="shared" si="54"/>
        <v>883898.88679856737</v>
      </c>
      <c r="P23" s="94">
        <f t="shared" si="54"/>
        <v>945064.68976502819</v>
      </c>
      <c r="Q23" s="94">
        <f t="shared" si="54"/>
        <v>1010463.1662967681</v>
      </c>
      <c r="R23" s="94">
        <f t="shared" si="54"/>
        <v>1080387.2174045043</v>
      </c>
      <c r="S23" s="94">
        <f t="shared" si="54"/>
        <v>1155150.012848896</v>
      </c>
      <c r="T23" s="94">
        <f t="shared" si="54"/>
        <v>1235086.3937380395</v>
      </c>
      <c r="U23" s="94">
        <f t="shared" si="54"/>
        <v>1320554.3721847117</v>
      </c>
      <c r="V23" s="94">
        <f t="shared" si="54"/>
        <v>1411936.7347398938</v>
      </c>
      <c r="W23" s="94">
        <f t="shared" si="54"/>
        <v>1509642.7567838943</v>
      </c>
      <c r="X23" s="94">
        <f t="shared" si="54"/>
        <v>1614110.0355533396</v>
      </c>
      <c r="Y23" s="94">
        <f t="shared" si="54"/>
        <v>1725806.4500136306</v>
      </c>
      <c r="Z23" s="94">
        <f t="shared" si="54"/>
        <v>1845232.2563545736</v>
      </c>
      <c r="AA23" s="94">
        <f t="shared" si="54"/>
        <v>1972922.3284943099</v>
      </c>
    </row>
    <row r="24" spans="1:27">
      <c r="A24" t="s">
        <v>398</v>
      </c>
      <c r="B24" s="94">
        <f>('Invest. em Pre e Implantação'!F80-'Invest. em Pre e Implantação'!F83)*0.85%</f>
        <v>52185.766320000017</v>
      </c>
      <c r="C24" s="94">
        <f>B24*12</f>
        <v>626229.19584000017</v>
      </c>
      <c r="D24" s="94">
        <f t="shared" ref="D24:S32" si="55">C24*(1+$B$2)</f>
        <v>669564.25619212817</v>
      </c>
      <c r="E24" s="94">
        <f t="shared" si="55"/>
        <v>715898.10272062337</v>
      </c>
      <c r="F24" s="94">
        <f t="shared" si="55"/>
        <v>765438.25142889051</v>
      </c>
      <c r="G24" s="94">
        <f t="shared" si="55"/>
        <v>818406.57842776971</v>
      </c>
      <c r="H24" s="94">
        <f t="shared" si="55"/>
        <v>875040.31365497131</v>
      </c>
      <c r="I24" s="94">
        <f t="shared" si="55"/>
        <v>935593.10335989529</v>
      </c>
      <c r="J24" s="94">
        <f t="shared" si="55"/>
        <v>1000336.1461124</v>
      </c>
      <c r="K24" s="94">
        <f t="shared" si="55"/>
        <v>1069559.407423378</v>
      </c>
      <c r="L24" s="94">
        <f t="shared" si="55"/>
        <v>1143572.9184170756</v>
      </c>
      <c r="M24" s="94">
        <f t="shared" si="55"/>
        <v>1222708.1643715373</v>
      </c>
      <c r="N24" s="94">
        <f t="shared" si="55"/>
        <v>1307319.5693460475</v>
      </c>
      <c r="O24" s="94">
        <f t="shared" si="55"/>
        <v>1397786.0835447938</v>
      </c>
      <c r="P24" s="94">
        <f t="shared" si="55"/>
        <v>1494512.8805260933</v>
      </c>
      <c r="Q24" s="94">
        <f t="shared" si="55"/>
        <v>1597933.1718584988</v>
      </c>
      <c r="R24" s="94">
        <f t="shared" si="55"/>
        <v>1708510.1473511069</v>
      </c>
      <c r="S24" s="94">
        <f t="shared" si="55"/>
        <v>1826739.0495478034</v>
      </c>
      <c r="T24" s="94">
        <f t="shared" si="54"/>
        <v>1953149.3917765112</v>
      </c>
      <c r="U24" s="94">
        <f t="shared" si="54"/>
        <v>2088307.3296874457</v>
      </c>
      <c r="V24" s="94">
        <f t="shared" si="54"/>
        <v>2232818.1969018169</v>
      </c>
      <c r="W24" s="94">
        <f t="shared" si="54"/>
        <v>2387329.2161274226</v>
      </c>
      <c r="X24" s="94">
        <f t="shared" si="54"/>
        <v>2552532.3978834399</v>
      </c>
      <c r="Y24" s="94">
        <f t="shared" si="54"/>
        <v>2729167.6398169738</v>
      </c>
      <c r="Z24" s="94">
        <f t="shared" si="54"/>
        <v>2918026.0404923083</v>
      </c>
      <c r="AA24" s="94">
        <f t="shared" si="54"/>
        <v>3119953.4424943756</v>
      </c>
    </row>
    <row r="25" spans="1:27">
      <c r="A25" t="s">
        <v>679</v>
      </c>
      <c r="B25" s="94">
        <f>2*2000</f>
        <v>4000</v>
      </c>
      <c r="C25" s="94">
        <f t="shared" ref="C25" si="56">B25*12</f>
        <v>48000</v>
      </c>
      <c r="D25" s="94">
        <f t="shared" si="55"/>
        <v>51321.599999999999</v>
      </c>
      <c r="E25" s="94">
        <f t="shared" si="54"/>
        <v>54873.054719999993</v>
      </c>
      <c r="F25" s="94">
        <f t="shared" si="54"/>
        <v>58670.27010662399</v>
      </c>
      <c r="G25" s="94">
        <f t="shared" si="54"/>
        <v>62730.252798002366</v>
      </c>
      <c r="H25" s="94">
        <f t="shared" si="54"/>
        <v>67071.186291624123</v>
      </c>
      <c r="I25" s="94">
        <f t="shared" si="54"/>
        <v>71712.512383004505</v>
      </c>
      <c r="J25" s="94">
        <f t="shared" si="54"/>
        <v>76675.018239908415</v>
      </c>
      <c r="K25" s="94">
        <f t="shared" si="54"/>
        <v>81980.92950211007</v>
      </c>
      <c r="L25" s="94">
        <f t="shared" si="54"/>
        <v>87654.009823656073</v>
      </c>
      <c r="M25" s="94">
        <f t="shared" si="54"/>
        <v>93719.667303453069</v>
      </c>
      <c r="N25" s="94">
        <f t="shared" si="54"/>
        <v>100205.06828085202</v>
      </c>
      <c r="O25" s="94">
        <f t="shared" si="54"/>
        <v>107139.25900588697</v>
      </c>
      <c r="P25" s="94">
        <f t="shared" si="54"/>
        <v>114553.29572909435</v>
      </c>
      <c r="Q25" s="94">
        <f t="shared" si="54"/>
        <v>122480.38379354766</v>
      </c>
      <c r="R25" s="94">
        <f t="shared" si="54"/>
        <v>130956.02635206115</v>
      </c>
      <c r="S25" s="94">
        <f t="shared" si="54"/>
        <v>140018.18337562378</v>
      </c>
      <c r="T25" s="94">
        <f t="shared" si="54"/>
        <v>149707.44166521693</v>
      </c>
      <c r="U25" s="94">
        <f t="shared" si="54"/>
        <v>160067.19662844992</v>
      </c>
      <c r="V25" s="94">
        <f t="shared" si="54"/>
        <v>171143.84663513865</v>
      </c>
      <c r="W25" s="94">
        <f t="shared" si="54"/>
        <v>182987.00082229023</v>
      </c>
      <c r="X25" s="94">
        <f t="shared" si="54"/>
        <v>195649.7012791927</v>
      </c>
      <c r="Y25" s="94">
        <f t="shared" si="54"/>
        <v>209188.66060771281</v>
      </c>
      <c r="Z25" s="94">
        <f t="shared" si="54"/>
        <v>223664.51592176652</v>
      </c>
      <c r="AA25" s="94">
        <f t="shared" si="54"/>
        <v>239142.10042355274</v>
      </c>
    </row>
    <row r="26" spans="1:27">
      <c r="A26" t="s">
        <v>171</v>
      </c>
      <c r="B26" s="94">
        <f>((8*10*25)+(2*20*8*25)+(2*4*8*25)+(12*10*25))*3.67+((100/9)*25*6.59)*2</f>
        <v>57243.111111111109</v>
      </c>
      <c r="C26" s="94">
        <f t="shared" ref="C26:C31" si="57">B26*12</f>
        <v>686917.33333333326</v>
      </c>
      <c r="D26" s="94">
        <f t="shared" si="55"/>
        <v>734452.01279999991</v>
      </c>
      <c r="E26" s="94">
        <f t="shared" si="54"/>
        <v>785276.09208575985</v>
      </c>
      <c r="F26" s="94">
        <f t="shared" si="54"/>
        <v>839617.19765809434</v>
      </c>
      <c r="G26" s="94">
        <f t="shared" si="54"/>
        <v>897718.70773603441</v>
      </c>
      <c r="H26" s="94">
        <f t="shared" si="54"/>
        <v>959840.84231136797</v>
      </c>
      <c r="I26" s="94">
        <f t="shared" si="54"/>
        <v>1026261.8285993146</v>
      </c>
      <c r="J26" s="94">
        <f t="shared" si="54"/>
        <v>1097279.147138387</v>
      </c>
      <c r="K26" s="94">
        <f t="shared" si="54"/>
        <v>1173210.8641203633</v>
      </c>
      <c r="L26" s="94">
        <f t="shared" si="54"/>
        <v>1254397.0559174924</v>
      </c>
      <c r="M26" s="94">
        <f t="shared" si="54"/>
        <v>1341201.3321869827</v>
      </c>
      <c r="N26" s="94">
        <f t="shared" si="54"/>
        <v>1434012.4643743217</v>
      </c>
      <c r="O26" s="94">
        <f t="shared" si="54"/>
        <v>1533246.1269090248</v>
      </c>
      <c r="P26" s="94">
        <f t="shared" si="54"/>
        <v>1639346.7588911292</v>
      </c>
      <c r="Q26" s="94">
        <f t="shared" si="54"/>
        <v>1752789.5546063951</v>
      </c>
      <c r="R26" s="94">
        <f t="shared" si="54"/>
        <v>1874082.5917851576</v>
      </c>
      <c r="S26" s="94">
        <f t="shared" si="54"/>
        <v>2003769.1071366903</v>
      </c>
      <c r="T26" s="94">
        <f t="shared" si="54"/>
        <v>2142429.9293505489</v>
      </c>
      <c r="U26" s="94">
        <f t="shared" si="54"/>
        <v>2290686.0804616068</v>
      </c>
      <c r="V26" s="94">
        <f t="shared" si="54"/>
        <v>2449201.5572295501</v>
      </c>
      <c r="W26" s="94">
        <f t="shared" si="54"/>
        <v>2618686.3049898348</v>
      </c>
      <c r="X26" s="94">
        <f t="shared" si="54"/>
        <v>2799899.3972951313</v>
      </c>
      <c r="Y26" s="94">
        <f t="shared" si="54"/>
        <v>2993652.4355879542</v>
      </c>
      <c r="Z26" s="94">
        <f t="shared" si="54"/>
        <v>3200813.1841306402</v>
      </c>
      <c r="AA26" s="94">
        <f t="shared" si="54"/>
        <v>3422309.4564724802</v>
      </c>
    </row>
    <row r="27" spans="1:27">
      <c r="A27" t="s">
        <v>741</v>
      </c>
      <c r="B27" s="94">
        <f>2800*2</f>
        <v>5600</v>
      </c>
      <c r="C27" s="94">
        <f t="shared" si="57"/>
        <v>67200</v>
      </c>
      <c r="D27" s="94">
        <f t="shared" ref="D27" si="58">C27*(1+$B$2)</f>
        <v>71850.239999999991</v>
      </c>
      <c r="E27" s="94">
        <f t="shared" ref="E27" si="59">D27*(1+$B$2)</f>
        <v>76822.276607999986</v>
      </c>
      <c r="F27" s="94">
        <f t="shared" ref="F27" si="60">E27*(1+$B$2)</f>
        <v>82138.378149273572</v>
      </c>
      <c r="G27" s="94">
        <f t="shared" ref="G27" si="61">F27*(1+$B$2)</f>
        <v>87822.353917203291</v>
      </c>
      <c r="H27" s="94">
        <f t="shared" ref="H27" si="62">G27*(1+$B$2)</f>
        <v>93899.660808273751</v>
      </c>
      <c r="I27" s="94">
        <f t="shared" ref="I27" si="63">H27*(1+$B$2)</f>
        <v>100397.51733620629</v>
      </c>
      <c r="J27" s="94">
        <f t="shared" ref="J27" si="64">I27*(1+$B$2)</f>
        <v>107345.02553587175</v>
      </c>
      <c r="K27" s="94">
        <f t="shared" ref="K27" si="65">J27*(1+$B$2)</f>
        <v>114773.30130295407</v>
      </c>
      <c r="L27" s="94">
        <f t="shared" ref="L27" si="66">K27*(1+$B$2)</f>
        <v>122715.61375311849</v>
      </c>
      <c r="M27" s="94">
        <f t="shared" ref="M27" si="67">L27*(1+$B$2)</f>
        <v>131207.53422483429</v>
      </c>
      <c r="N27" s="94">
        <f t="shared" ref="N27" si="68">M27*(1+$B$2)</f>
        <v>140287.09559319282</v>
      </c>
      <c r="O27" s="94">
        <f t="shared" ref="O27" si="69">N27*(1+$B$2)</f>
        <v>149994.96260824174</v>
      </c>
      <c r="P27" s="94">
        <f t="shared" ref="P27" si="70">O27*(1+$B$2)</f>
        <v>160374.61402073206</v>
      </c>
      <c r="Q27" s="94">
        <f t="shared" ref="Q27" si="71">P27*(1+$B$2)</f>
        <v>171472.5373109667</v>
      </c>
      <c r="R27" s="94">
        <f t="shared" ref="R27" si="72">Q27*(1+$B$2)</f>
        <v>183338.43689288557</v>
      </c>
      <c r="S27" s="94">
        <f t="shared" ref="S27" si="73">R27*(1+$B$2)</f>
        <v>196025.45672587323</v>
      </c>
      <c r="T27" s="94">
        <f t="shared" ref="T27" si="74">S27*(1+$B$2)</f>
        <v>209590.41833130363</v>
      </c>
      <c r="U27" s="94">
        <f t="shared" ref="U27" si="75">T27*(1+$B$2)</f>
        <v>224094.07527982982</v>
      </c>
      <c r="V27" s="94">
        <f t="shared" ref="V27" si="76">U27*(1+$B$2)</f>
        <v>239601.38528919403</v>
      </c>
      <c r="W27" s="94">
        <f t="shared" ref="W27" si="77">V27*(1+$B$2)</f>
        <v>256181.80115120625</v>
      </c>
      <c r="X27" s="94">
        <f t="shared" ref="X27" si="78">W27*(1+$B$2)</f>
        <v>273909.58179086971</v>
      </c>
      <c r="Y27" s="94">
        <f t="shared" ref="Y27" si="79">X27*(1+$B$2)</f>
        <v>292864.12485079787</v>
      </c>
      <c r="Z27" s="94">
        <f t="shared" ref="Z27" si="80">Y27*(1+$B$2)</f>
        <v>313130.32229047309</v>
      </c>
      <c r="AA27" s="94">
        <f t="shared" ref="AA27" si="81">Z27*(1+$B$2)</f>
        <v>334798.94059297378</v>
      </c>
    </row>
    <row r="28" spans="1:27">
      <c r="A28" t="s">
        <v>740</v>
      </c>
      <c r="B28" s="94">
        <f>1600*2</f>
        <v>3200</v>
      </c>
      <c r="C28" s="94">
        <f t="shared" si="57"/>
        <v>38400</v>
      </c>
      <c r="D28" s="94">
        <f t="shared" ref="D28" si="82">C28*(1+$B$2)</f>
        <v>41057.279999999999</v>
      </c>
      <c r="E28" s="94">
        <f t="shared" ref="E28" si="83">D28*(1+$B$2)</f>
        <v>43898.443775999993</v>
      </c>
      <c r="F28" s="94">
        <f t="shared" ref="F28" si="84">E28*(1+$B$2)</f>
        <v>46936.216085299187</v>
      </c>
      <c r="G28" s="94">
        <f t="shared" ref="G28" si="85">F28*(1+$B$2)</f>
        <v>50184.202238401886</v>
      </c>
      <c r="H28" s="94">
        <f t="shared" ref="H28" si="86">G28*(1+$B$2)</f>
        <v>53656.949033299294</v>
      </c>
      <c r="I28" s="94">
        <f t="shared" ref="I28" si="87">H28*(1+$B$2)</f>
        <v>57370.009906403604</v>
      </c>
      <c r="J28" s="94">
        <f t="shared" ref="J28" si="88">I28*(1+$B$2)</f>
        <v>61340.014591926731</v>
      </c>
      <c r="K28" s="94">
        <f t="shared" ref="K28" si="89">J28*(1+$B$2)</f>
        <v>65584.743601688053</v>
      </c>
      <c r="L28" s="94">
        <f t="shared" ref="L28" si="90">K28*(1+$B$2)</f>
        <v>70123.207858924856</v>
      </c>
      <c r="M28" s="94">
        <f t="shared" ref="M28" si="91">L28*(1+$B$2)</f>
        <v>74975.733842762449</v>
      </c>
      <c r="N28" s="94">
        <f t="shared" ref="N28" si="92">M28*(1+$B$2)</f>
        <v>80164.054624681608</v>
      </c>
      <c r="O28" s="94">
        <f t="shared" ref="O28" si="93">N28*(1+$B$2)</f>
        <v>85711.407204709569</v>
      </c>
      <c r="P28" s="94">
        <f t="shared" ref="P28" si="94">O28*(1+$B$2)</f>
        <v>91642.636583275467</v>
      </c>
      <c r="Q28" s="94">
        <f t="shared" ref="Q28" si="95">P28*(1+$B$2)</f>
        <v>97984.30703483813</v>
      </c>
      <c r="R28" s="94">
        <f t="shared" ref="R28" si="96">Q28*(1+$B$2)</f>
        <v>104764.82108164892</v>
      </c>
      <c r="S28" s="94">
        <f t="shared" ref="S28" si="97">R28*(1+$B$2)</f>
        <v>112014.54670049901</v>
      </c>
      <c r="T28" s="94">
        <f t="shared" ref="T28" si="98">S28*(1+$B$2)</f>
        <v>119765.95333217354</v>
      </c>
      <c r="U28" s="94">
        <f t="shared" ref="U28" si="99">T28*(1+$B$2)</f>
        <v>128053.75730275994</v>
      </c>
      <c r="V28" s="94">
        <f t="shared" ref="V28" si="100">U28*(1+$B$2)</f>
        <v>136915.07730811092</v>
      </c>
      <c r="W28" s="94">
        <f t="shared" ref="W28" si="101">V28*(1+$B$2)</f>
        <v>146389.6006578322</v>
      </c>
      <c r="X28" s="94">
        <f t="shared" ref="X28" si="102">W28*(1+$B$2)</f>
        <v>156519.76102335416</v>
      </c>
      <c r="Y28" s="94">
        <f t="shared" ref="Y28" si="103">X28*(1+$B$2)</f>
        <v>167350.92848617025</v>
      </c>
      <c r="Z28" s="94">
        <f t="shared" ref="Z28" si="104">Y28*(1+$B$2)</f>
        <v>178931.6127374132</v>
      </c>
      <c r="AA28" s="94">
        <f t="shared" ref="AA28" si="105">Z28*(1+$B$2)</f>
        <v>191313.68033884218</v>
      </c>
    </row>
    <row r="29" spans="1:27">
      <c r="A29" t="s">
        <v>739</v>
      </c>
      <c r="B29" s="94">
        <f>560*2</f>
        <v>1120</v>
      </c>
      <c r="C29" s="94">
        <f t="shared" si="57"/>
        <v>13440</v>
      </c>
      <c r="D29" s="94">
        <f t="shared" ref="D29:D31" si="106">C29*(1+$B$2)</f>
        <v>14370.047999999999</v>
      </c>
      <c r="E29" s="94">
        <f t="shared" ref="E29:E31" si="107">D29*(1+$B$2)</f>
        <v>15364.455321599999</v>
      </c>
      <c r="F29" s="94">
        <f t="shared" ref="F29:F31" si="108">E29*(1+$B$2)</f>
        <v>16427.675629854719</v>
      </c>
      <c r="G29" s="94">
        <f t="shared" ref="G29:G31" si="109">F29*(1+$B$2)</f>
        <v>17564.470783440665</v>
      </c>
      <c r="H29" s="94">
        <f t="shared" ref="H29:H31" si="110">G29*(1+$B$2)</f>
        <v>18779.932161654757</v>
      </c>
      <c r="I29" s="94">
        <f t="shared" ref="I29:I31" si="111">H29*(1+$B$2)</f>
        <v>20079.503467241266</v>
      </c>
      <c r="J29" s="94">
        <f t="shared" ref="J29:J31" si="112">I29*(1+$B$2)</f>
        <v>21469.005107174358</v>
      </c>
      <c r="K29" s="94">
        <f t="shared" ref="K29:K31" si="113">J29*(1+$B$2)</f>
        <v>22954.660260590823</v>
      </c>
      <c r="L29" s="94">
        <f t="shared" ref="L29:L31" si="114">K29*(1+$B$2)</f>
        <v>24543.122750623705</v>
      </c>
      <c r="M29" s="94">
        <f t="shared" ref="M29:M31" si="115">L29*(1+$B$2)</f>
        <v>26241.506844966862</v>
      </c>
      <c r="N29" s="94">
        <f t="shared" ref="N29:N31" si="116">M29*(1+$B$2)</f>
        <v>28057.419118638565</v>
      </c>
      <c r="O29" s="94">
        <f t="shared" ref="O29:O31" si="117">N29*(1+$B$2)</f>
        <v>29998.992521648353</v>
      </c>
      <c r="P29" s="94">
        <f t="shared" ref="P29:P31" si="118">O29*(1+$B$2)</f>
        <v>32074.922804146416</v>
      </c>
      <c r="Q29" s="94">
        <f t="shared" ref="Q29:Q31" si="119">P29*(1+$B$2)</f>
        <v>34294.507462193345</v>
      </c>
      <c r="R29" s="94">
        <f t="shared" ref="R29:R31" si="120">Q29*(1+$B$2)</f>
        <v>36667.687378577124</v>
      </c>
      <c r="S29" s="94">
        <f t="shared" ref="S29:S31" si="121">R29*(1+$B$2)</f>
        <v>39205.09134517466</v>
      </c>
      <c r="T29" s="94">
        <f t="shared" ref="T29:T31" si="122">S29*(1+$B$2)</f>
        <v>41918.083666260747</v>
      </c>
      <c r="U29" s="94">
        <f t="shared" ref="U29:U31" si="123">T29*(1+$B$2)</f>
        <v>44818.815055965984</v>
      </c>
      <c r="V29" s="94">
        <f t="shared" ref="V29:V31" si="124">U29*(1+$B$2)</f>
        <v>47920.27705783883</v>
      </c>
      <c r="W29" s="94">
        <f t="shared" ref="W29:W31" si="125">V29*(1+$B$2)</f>
        <v>51236.360230241276</v>
      </c>
      <c r="X29" s="94">
        <f t="shared" ref="X29:X31" si="126">W29*(1+$B$2)</f>
        <v>54781.91635817397</v>
      </c>
      <c r="Y29" s="94">
        <f t="shared" ref="Y29:Y31" si="127">X29*(1+$B$2)</f>
        <v>58572.824970159607</v>
      </c>
      <c r="Z29" s="94">
        <f t="shared" ref="Z29:Z31" si="128">Y29*(1+$B$2)</f>
        <v>62626.064458094646</v>
      </c>
      <c r="AA29" s="94">
        <f t="shared" ref="AA29:AA31" si="129">Z29*(1+$B$2)</f>
        <v>66959.788118594792</v>
      </c>
    </row>
    <row r="30" spans="1:27">
      <c r="A30" t="s">
        <v>742</v>
      </c>
      <c r="B30" s="94">
        <f>2800*2</f>
        <v>5600</v>
      </c>
      <c r="C30" s="94">
        <f t="shared" si="57"/>
        <v>67200</v>
      </c>
      <c r="D30" s="94">
        <f t="shared" si="106"/>
        <v>71850.239999999991</v>
      </c>
      <c r="E30" s="94">
        <f t="shared" si="107"/>
        <v>76822.276607999986</v>
      </c>
      <c r="F30" s="94">
        <f t="shared" si="108"/>
        <v>82138.378149273572</v>
      </c>
      <c r="G30" s="94">
        <f t="shared" si="109"/>
        <v>87822.353917203291</v>
      </c>
      <c r="H30" s="94">
        <f t="shared" si="110"/>
        <v>93899.660808273751</v>
      </c>
      <c r="I30" s="94">
        <f t="shared" si="111"/>
        <v>100397.51733620629</v>
      </c>
      <c r="J30" s="94">
        <f t="shared" si="112"/>
        <v>107345.02553587175</v>
      </c>
      <c r="K30" s="94">
        <f t="shared" si="113"/>
        <v>114773.30130295407</v>
      </c>
      <c r="L30" s="94">
        <f t="shared" si="114"/>
        <v>122715.61375311849</v>
      </c>
      <c r="M30" s="94">
        <f t="shared" si="115"/>
        <v>131207.53422483429</v>
      </c>
      <c r="N30" s="94">
        <f t="shared" si="116"/>
        <v>140287.09559319282</v>
      </c>
      <c r="O30" s="94">
        <f t="shared" si="117"/>
        <v>149994.96260824174</v>
      </c>
      <c r="P30" s="94">
        <f t="shared" si="118"/>
        <v>160374.61402073206</v>
      </c>
      <c r="Q30" s="94">
        <f t="shared" si="119"/>
        <v>171472.5373109667</v>
      </c>
      <c r="R30" s="94">
        <f t="shared" si="120"/>
        <v>183338.43689288557</v>
      </c>
      <c r="S30" s="94">
        <f t="shared" si="121"/>
        <v>196025.45672587323</v>
      </c>
      <c r="T30" s="94">
        <f t="shared" si="122"/>
        <v>209590.41833130363</v>
      </c>
      <c r="U30" s="94">
        <f t="shared" si="123"/>
        <v>224094.07527982982</v>
      </c>
      <c r="V30" s="94">
        <f t="shared" si="124"/>
        <v>239601.38528919403</v>
      </c>
      <c r="W30" s="94">
        <f t="shared" si="125"/>
        <v>256181.80115120625</v>
      </c>
      <c r="X30" s="94">
        <f t="shared" si="126"/>
        <v>273909.58179086971</v>
      </c>
      <c r="Y30" s="94">
        <f t="shared" si="127"/>
        <v>292864.12485079787</v>
      </c>
      <c r="Z30" s="94">
        <f t="shared" si="128"/>
        <v>313130.32229047309</v>
      </c>
      <c r="AA30" s="94">
        <f t="shared" si="129"/>
        <v>334798.94059297378</v>
      </c>
    </row>
    <row r="31" spans="1:27">
      <c r="A31" t="s">
        <v>743</v>
      </c>
      <c r="B31" s="94">
        <f>1600*2</f>
        <v>3200</v>
      </c>
      <c r="C31" s="94">
        <f t="shared" si="57"/>
        <v>38400</v>
      </c>
      <c r="D31" s="94">
        <f t="shared" si="106"/>
        <v>41057.279999999999</v>
      </c>
      <c r="E31" s="94">
        <f t="shared" si="107"/>
        <v>43898.443775999993</v>
      </c>
      <c r="F31" s="94">
        <f t="shared" si="108"/>
        <v>46936.216085299187</v>
      </c>
      <c r="G31" s="94">
        <f t="shared" si="109"/>
        <v>50184.202238401886</v>
      </c>
      <c r="H31" s="94">
        <f t="shared" si="110"/>
        <v>53656.949033299294</v>
      </c>
      <c r="I31" s="94">
        <f t="shared" si="111"/>
        <v>57370.009906403604</v>
      </c>
      <c r="J31" s="94">
        <f t="shared" si="112"/>
        <v>61340.014591926731</v>
      </c>
      <c r="K31" s="94">
        <f t="shared" si="113"/>
        <v>65584.743601688053</v>
      </c>
      <c r="L31" s="94">
        <f t="shared" si="114"/>
        <v>70123.207858924856</v>
      </c>
      <c r="M31" s="94">
        <f t="shared" si="115"/>
        <v>74975.733842762449</v>
      </c>
      <c r="N31" s="94">
        <f t="shared" si="116"/>
        <v>80164.054624681608</v>
      </c>
      <c r="O31" s="94">
        <f t="shared" si="117"/>
        <v>85711.407204709569</v>
      </c>
      <c r="P31" s="94">
        <f t="shared" si="118"/>
        <v>91642.636583275467</v>
      </c>
      <c r="Q31" s="94">
        <f t="shared" si="119"/>
        <v>97984.30703483813</v>
      </c>
      <c r="R31" s="94">
        <f t="shared" si="120"/>
        <v>104764.82108164892</v>
      </c>
      <c r="S31" s="94">
        <f t="shared" si="121"/>
        <v>112014.54670049901</v>
      </c>
      <c r="T31" s="94">
        <f t="shared" si="122"/>
        <v>119765.95333217354</v>
      </c>
      <c r="U31" s="94">
        <f t="shared" si="123"/>
        <v>128053.75730275994</v>
      </c>
      <c r="V31" s="94">
        <f t="shared" si="124"/>
        <v>136915.07730811092</v>
      </c>
      <c r="W31" s="94">
        <f t="shared" si="125"/>
        <v>146389.6006578322</v>
      </c>
      <c r="X31" s="94">
        <f t="shared" si="126"/>
        <v>156519.76102335416</v>
      </c>
      <c r="Y31" s="94">
        <f t="shared" si="127"/>
        <v>167350.92848617025</v>
      </c>
      <c r="Z31" s="94">
        <f t="shared" si="128"/>
        <v>178931.6127374132</v>
      </c>
      <c r="AA31" s="94">
        <f t="shared" si="129"/>
        <v>191313.68033884218</v>
      </c>
    </row>
    <row r="32" spans="1:27">
      <c r="A32" t="s">
        <v>441</v>
      </c>
      <c r="B32" s="94">
        <f>C32/12</f>
        <v>6131.3760000000011</v>
      </c>
      <c r="C32" s="94">
        <f>'Encerramento e Monitoramento'!F12/25</f>
        <v>73576.512000000017</v>
      </c>
      <c r="D32" s="94">
        <f t="shared" si="55"/>
        <v>78668.006630400007</v>
      </c>
      <c r="E32" s="94">
        <f t="shared" si="54"/>
        <v>84111.83268922368</v>
      </c>
      <c r="F32" s="94">
        <f t="shared" si="54"/>
        <v>89932.37151131795</v>
      </c>
      <c r="G32" s="94">
        <f t="shared" si="54"/>
        <v>96155.691619901147</v>
      </c>
      <c r="H32" s="94">
        <f t="shared" si="54"/>
        <v>102809.66547999829</v>
      </c>
      <c r="I32" s="94">
        <f t="shared" si="54"/>
        <v>109924.09433121416</v>
      </c>
      <c r="J32" s="94">
        <f t="shared" si="54"/>
        <v>117530.84165893418</v>
      </c>
      <c r="K32" s="94">
        <f t="shared" si="54"/>
        <v>125663.97590173241</v>
      </c>
      <c r="L32" s="94">
        <f t="shared" si="54"/>
        <v>134359.92303413228</v>
      </c>
      <c r="M32" s="94">
        <f t="shared" si="54"/>
        <v>143657.62970809423</v>
      </c>
      <c r="N32" s="94">
        <f t="shared" si="54"/>
        <v>153598.73768389435</v>
      </c>
      <c r="O32" s="94">
        <f t="shared" si="54"/>
        <v>164227.77033161983</v>
      </c>
      <c r="P32" s="94">
        <f t="shared" si="54"/>
        <v>175592.33203856793</v>
      </c>
      <c r="Q32" s="94">
        <f t="shared" si="54"/>
        <v>187743.3214156368</v>
      </c>
      <c r="R32" s="94">
        <f t="shared" si="54"/>
        <v>200735.15925759886</v>
      </c>
      <c r="S32" s="94">
        <f t="shared" si="54"/>
        <v>214626.03227822468</v>
      </c>
      <c r="T32" s="94">
        <f t="shared" si="54"/>
        <v>229478.15371187782</v>
      </c>
      <c r="U32" s="94">
        <f t="shared" si="54"/>
        <v>245358.04194873976</v>
      </c>
      <c r="V32" s="94">
        <f t="shared" si="54"/>
        <v>262336.81845159252</v>
      </c>
      <c r="W32" s="94">
        <f t="shared" si="54"/>
        <v>280490.52628844272</v>
      </c>
      <c r="X32" s="94">
        <f t="shared" si="54"/>
        <v>299900.47070760292</v>
      </c>
      <c r="Y32" s="94">
        <f t="shared" si="54"/>
        <v>320653.583280569</v>
      </c>
      <c r="Z32" s="94">
        <f t="shared" si="54"/>
        <v>342842.81124358438</v>
      </c>
      <c r="AA32" s="94">
        <f t="shared" si="54"/>
        <v>366567.53378164041</v>
      </c>
    </row>
    <row r="33" spans="1:27">
      <c r="A33" s="96" t="s">
        <v>174</v>
      </c>
      <c r="B33" s="95">
        <f t="shared" ref="B33:AA33" si="130">SUM(B23:B32)</f>
        <v>171280.25343111111</v>
      </c>
      <c r="C33" s="95">
        <f t="shared" si="130"/>
        <v>2055363.0411733335</v>
      </c>
      <c r="D33" s="95">
        <f t="shared" si="130"/>
        <v>2197594.1636225283</v>
      </c>
      <c r="E33" s="95">
        <f t="shared" si="130"/>
        <v>2349667.6797452071</v>
      </c>
      <c r="F33" s="95">
        <f t="shared" si="130"/>
        <v>2512264.6831835755</v>
      </c>
      <c r="G33" s="95">
        <f t="shared" si="130"/>
        <v>2686113.3992598783</v>
      </c>
      <c r="H33" s="95">
        <f t="shared" si="130"/>
        <v>2871992.4464886612</v>
      </c>
      <c r="I33" s="95">
        <f t="shared" si="130"/>
        <v>3070734.3237856771</v>
      </c>
      <c r="J33" s="95">
        <f t="shared" si="130"/>
        <v>3283229.1389916446</v>
      </c>
      <c r="K33" s="95">
        <f t="shared" si="130"/>
        <v>3510428.5954098664</v>
      </c>
      <c r="L33" s="95">
        <f t="shared" si="130"/>
        <v>3753350.254212229</v>
      </c>
      <c r="M33" s="95">
        <f t="shared" si="130"/>
        <v>4013082.0918037151</v>
      </c>
      <c r="N33" s="95">
        <f t="shared" si="130"/>
        <v>4290787.3725565327</v>
      </c>
      <c r="O33" s="95">
        <f t="shared" si="130"/>
        <v>4587709.8587374445</v>
      </c>
      <c r="P33" s="95">
        <f t="shared" si="130"/>
        <v>4905179.3809620738</v>
      </c>
      <c r="Q33" s="95">
        <f t="shared" si="130"/>
        <v>5244617.794124648</v>
      </c>
      <c r="R33" s="95">
        <f t="shared" si="130"/>
        <v>5607545.3454780746</v>
      </c>
      <c r="S33" s="95">
        <f t="shared" si="130"/>
        <v>5995587.4833851568</v>
      </c>
      <c r="T33" s="95">
        <f t="shared" si="130"/>
        <v>6410482.1372354096</v>
      </c>
      <c r="U33" s="95">
        <f t="shared" si="130"/>
        <v>6854087.5011321008</v>
      </c>
      <c r="V33" s="95">
        <f t="shared" si="130"/>
        <v>7328390.3562104413</v>
      </c>
      <c r="W33" s="95">
        <f t="shared" si="130"/>
        <v>7835514.9688602015</v>
      </c>
      <c r="X33" s="95">
        <f t="shared" si="130"/>
        <v>8377732.6047053281</v>
      </c>
      <c r="Y33" s="95">
        <f t="shared" si="130"/>
        <v>8957471.7009509355</v>
      </c>
      <c r="Z33" s="95">
        <f t="shared" si="130"/>
        <v>9577328.7426567394</v>
      </c>
      <c r="AA33" s="95">
        <f t="shared" si="130"/>
        <v>10240079.891648589</v>
      </c>
    </row>
    <row r="34" spans="1:27">
      <c r="B34" s="89"/>
      <c r="C34" s="88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1:27">
      <c r="A35" s="97" t="s">
        <v>175</v>
      </c>
      <c r="B35" s="98">
        <f t="shared" ref="B35:AA35" si="131">B20+B33</f>
        <v>237868.95343111112</v>
      </c>
      <c r="C35" s="98">
        <f t="shared" si="131"/>
        <v>2854427.4411733337</v>
      </c>
      <c r="D35" s="98">
        <f t="shared" si="131"/>
        <v>3051953.8201025282</v>
      </c>
      <c r="E35" s="98">
        <f t="shared" si="131"/>
        <v>3263149.0244536228</v>
      </c>
      <c r="F35" s="98">
        <f t="shared" si="131"/>
        <v>3488958.9369458137</v>
      </c>
      <c r="G35" s="98">
        <f t="shared" si="131"/>
        <v>3730394.895382463</v>
      </c>
      <c r="H35" s="98">
        <f t="shared" si="131"/>
        <v>3988538.2221429292</v>
      </c>
      <c r="I35" s="98">
        <f t="shared" si="131"/>
        <v>4264545.0671152202</v>
      </c>
      <c r="J35" s="98">
        <f t="shared" si="131"/>
        <v>4559651.5857595913</v>
      </c>
      <c r="K35" s="98">
        <f t="shared" si="131"/>
        <v>4875179.4754941557</v>
      </c>
      <c r="L35" s="98">
        <f t="shared" si="131"/>
        <v>5212541.8951983508</v>
      </c>
      <c r="M35" s="98">
        <f t="shared" si="131"/>
        <v>5573249.7943460764</v>
      </c>
      <c r="N35" s="98">
        <f t="shared" si="131"/>
        <v>5958918.6801148253</v>
      </c>
      <c r="O35" s="98">
        <f t="shared" si="131"/>
        <v>6371275.852778771</v>
      </c>
      <c r="P35" s="98">
        <f t="shared" si="131"/>
        <v>6812168.1417910596</v>
      </c>
      <c r="Q35" s="98">
        <f t="shared" si="131"/>
        <v>7283570.1772029996</v>
      </c>
      <c r="R35" s="98">
        <f t="shared" si="131"/>
        <v>7787593.233465448</v>
      </c>
      <c r="S35" s="98">
        <f t="shared" si="131"/>
        <v>8326494.6852212567</v>
      </c>
      <c r="T35" s="98">
        <f t="shared" si="131"/>
        <v>8902688.1174385678</v>
      </c>
      <c r="U35" s="98">
        <f t="shared" si="131"/>
        <v>9518754.135165317</v>
      </c>
      <c r="V35" s="98">
        <f t="shared" si="131"/>
        <v>10177451.921318756</v>
      </c>
      <c r="W35" s="98">
        <f t="shared" si="131"/>
        <v>10881731.594274011</v>
      </c>
      <c r="X35" s="98">
        <f t="shared" si="131"/>
        <v>11634747.420597773</v>
      </c>
      <c r="Y35" s="98">
        <f t="shared" si="131"/>
        <v>12439871.942103138</v>
      </c>
      <c r="Z35" s="98">
        <f t="shared" si="131"/>
        <v>13300711.080496673</v>
      </c>
      <c r="AA35" s="98">
        <f t="shared" si="131"/>
        <v>14221120.287267046</v>
      </c>
    </row>
    <row r="36" spans="1:2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</row>
    <row r="37" spans="1:27">
      <c r="A37" s="99" t="s">
        <v>176</v>
      </c>
      <c r="B37" s="89"/>
      <c r="C37" s="94">
        <f>C35</f>
        <v>2854427.4411733337</v>
      </c>
      <c r="D37" s="94">
        <f t="shared" ref="D37:AA37" si="132">+$B$37+D35</f>
        <v>3051953.8201025282</v>
      </c>
      <c r="E37" s="94">
        <f t="shared" si="132"/>
        <v>3263149.0244536228</v>
      </c>
      <c r="F37" s="94">
        <f t="shared" si="132"/>
        <v>3488958.9369458137</v>
      </c>
      <c r="G37" s="94">
        <f t="shared" si="132"/>
        <v>3730394.895382463</v>
      </c>
      <c r="H37" s="94">
        <f t="shared" si="132"/>
        <v>3988538.2221429292</v>
      </c>
      <c r="I37" s="94">
        <f t="shared" si="132"/>
        <v>4264545.0671152202</v>
      </c>
      <c r="J37" s="94">
        <f t="shared" si="132"/>
        <v>4559651.5857595913</v>
      </c>
      <c r="K37" s="94">
        <f t="shared" si="132"/>
        <v>4875179.4754941557</v>
      </c>
      <c r="L37" s="94">
        <f t="shared" si="132"/>
        <v>5212541.8951983508</v>
      </c>
      <c r="M37" s="94">
        <f t="shared" si="132"/>
        <v>5573249.7943460764</v>
      </c>
      <c r="N37" s="94">
        <f t="shared" si="132"/>
        <v>5958918.6801148253</v>
      </c>
      <c r="O37" s="94">
        <f t="shared" si="132"/>
        <v>6371275.852778771</v>
      </c>
      <c r="P37" s="94">
        <f t="shared" si="132"/>
        <v>6812168.1417910596</v>
      </c>
      <c r="Q37" s="94">
        <f t="shared" si="132"/>
        <v>7283570.1772029996</v>
      </c>
      <c r="R37" s="94">
        <f t="shared" si="132"/>
        <v>7787593.233465448</v>
      </c>
      <c r="S37" s="94">
        <f t="shared" si="132"/>
        <v>8326494.6852212567</v>
      </c>
      <c r="T37" s="94">
        <f t="shared" si="132"/>
        <v>8902688.1174385678</v>
      </c>
      <c r="U37" s="94">
        <f t="shared" si="132"/>
        <v>9518754.135165317</v>
      </c>
      <c r="V37" s="94">
        <f t="shared" si="132"/>
        <v>10177451.921318756</v>
      </c>
      <c r="W37" s="94">
        <f t="shared" si="132"/>
        <v>10881731.594274011</v>
      </c>
      <c r="X37" s="94">
        <f t="shared" si="132"/>
        <v>11634747.420597773</v>
      </c>
      <c r="Y37" s="94">
        <f t="shared" si="132"/>
        <v>12439871.942103138</v>
      </c>
      <c r="Z37" s="94">
        <f t="shared" si="132"/>
        <v>13300711.080496673</v>
      </c>
      <c r="AA37" s="94">
        <f t="shared" si="132"/>
        <v>14221120.287267046</v>
      </c>
    </row>
    <row r="38" spans="1:27">
      <c r="A38" s="105" t="s">
        <v>179</v>
      </c>
      <c r="B38" s="100" t="s">
        <v>177</v>
      </c>
      <c r="C38" s="101" t="s">
        <v>129</v>
      </c>
      <c r="D38" s="102" t="s">
        <v>130</v>
      </c>
      <c r="E38" s="102" t="s">
        <v>131</v>
      </c>
      <c r="F38" s="102" t="s">
        <v>132</v>
      </c>
      <c r="G38" s="102" t="s">
        <v>133</v>
      </c>
      <c r="H38" s="102" t="s">
        <v>134</v>
      </c>
      <c r="I38" s="102" t="s">
        <v>135</v>
      </c>
      <c r="J38" s="102" t="s">
        <v>136</v>
      </c>
      <c r="K38" s="102" t="s">
        <v>137</v>
      </c>
      <c r="L38" s="102" t="s">
        <v>138</v>
      </c>
      <c r="M38" s="102" t="s">
        <v>139</v>
      </c>
      <c r="N38" s="102" t="s">
        <v>140</v>
      </c>
      <c r="O38" s="102" t="s">
        <v>141</v>
      </c>
      <c r="P38" s="102" t="s">
        <v>142</v>
      </c>
      <c r="Q38" s="102" t="s">
        <v>143</v>
      </c>
      <c r="R38" s="102" t="s">
        <v>144</v>
      </c>
      <c r="S38" s="102" t="s">
        <v>145</v>
      </c>
      <c r="T38" s="102" t="s">
        <v>146</v>
      </c>
      <c r="U38" s="102" t="s">
        <v>147</v>
      </c>
      <c r="V38" s="102" t="s">
        <v>148</v>
      </c>
      <c r="W38" s="102" t="s">
        <v>149</v>
      </c>
      <c r="X38" s="102" t="s">
        <v>150</v>
      </c>
      <c r="Y38" s="102" t="s">
        <v>151</v>
      </c>
      <c r="Z38" s="102" t="s">
        <v>152</v>
      </c>
      <c r="AA38" s="102" t="s">
        <v>153</v>
      </c>
    </row>
    <row r="39" spans="1:27">
      <c r="A39" t="s">
        <v>180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2:2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2:2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2:2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2:2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2:2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2:2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2:2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2:2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2:2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2:2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2:2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2:2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2:2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2:2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2:2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2:2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2:2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2:2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2:2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2:2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2:2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2:2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2:2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2:2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2:2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2:2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2:2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2:2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2:2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2:2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2:2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2:2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2:2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2:2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2:2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2:2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2:2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2:2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2:2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2:2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2:2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2:2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2:2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2:2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2:2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2:2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</sheetData>
  <mergeCells count="1">
    <mergeCell ref="A1:F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6"/>
  <sheetViews>
    <sheetView workbookViewId="0">
      <selection activeCell="D30" sqref="D30"/>
    </sheetView>
  </sheetViews>
  <sheetFormatPr baseColWidth="10" defaultColWidth="8.83203125" defaultRowHeight="15"/>
  <cols>
    <col min="1" max="1" width="38.83203125" customWidth="1"/>
    <col min="2" max="2" width="12.33203125" customWidth="1"/>
    <col min="3" max="3" width="10" bestFit="1" customWidth="1"/>
    <col min="4" max="4" width="19.5" customWidth="1"/>
    <col min="5" max="5" width="14.33203125" customWidth="1"/>
    <col min="6" max="6" width="15.5" customWidth="1"/>
    <col min="7" max="7" width="27.5" customWidth="1"/>
    <col min="8" max="8" width="12.5" customWidth="1"/>
    <col min="9" max="9" width="15.5" customWidth="1"/>
    <col min="10" max="11" width="12.1640625" bestFit="1" customWidth="1"/>
    <col min="12" max="12" width="13.33203125" customWidth="1"/>
    <col min="13" max="24" width="12.1640625" bestFit="1" customWidth="1"/>
    <col min="25" max="28" width="12.6640625" bestFit="1" customWidth="1"/>
  </cols>
  <sheetData>
    <row r="1" spans="1:28">
      <c r="A1" s="469" t="s">
        <v>402</v>
      </c>
      <c r="B1" s="469"/>
      <c r="D1" s="469" t="s">
        <v>406</v>
      </c>
      <c r="E1" s="469"/>
      <c r="G1" s="469" t="s">
        <v>408</v>
      </c>
      <c r="H1" s="469"/>
    </row>
    <row r="2" spans="1:28">
      <c r="A2" t="s">
        <v>403</v>
      </c>
      <c r="B2" s="166">
        <v>0.18</v>
      </c>
      <c r="D2" t="s">
        <v>407</v>
      </c>
      <c r="E2" s="166">
        <v>0.05</v>
      </c>
      <c r="G2" t="s">
        <v>409</v>
      </c>
      <c r="H2" s="166">
        <v>0.15</v>
      </c>
    </row>
    <row r="3" spans="1:28">
      <c r="A3" t="s">
        <v>404</v>
      </c>
      <c r="B3" s="167">
        <v>1.6500000000000001E-2</v>
      </c>
      <c r="D3" t="s">
        <v>404</v>
      </c>
      <c r="E3" s="167">
        <v>1.6500000000000001E-2</v>
      </c>
      <c r="G3" t="s">
        <v>410</v>
      </c>
      <c r="H3" s="166">
        <v>0.25</v>
      </c>
    </row>
    <row r="4" spans="1:28">
      <c r="A4" t="s">
        <v>405</v>
      </c>
      <c r="B4" s="167">
        <v>7.5999999999999998E-2</v>
      </c>
      <c r="D4" t="s">
        <v>405</v>
      </c>
      <c r="E4" s="167">
        <v>7.5999999999999998E-2</v>
      </c>
      <c r="G4" t="s">
        <v>411</v>
      </c>
      <c r="H4" s="166">
        <v>0.09</v>
      </c>
    </row>
    <row r="7" spans="1:28">
      <c r="A7" s="109" t="s">
        <v>402</v>
      </c>
      <c r="B7" s="107"/>
      <c r="C7" s="108" t="s">
        <v>181</v>
      </c>
      <c r="D7" s="108" t="s">
        <v>182</v>
      </c>
      <c r="E7" s="108" t="s">
        <v>183</v>
      </c>
      <c r="F7" s="108" t="s">
        <v>184</v>
      </c>
      <c r="G7" s="108" t="s">
        <v>185</v>
      </c>
      <c r="H7" s="108" t="s">
        <v>186</v>
      </c>
      <c r="I7" s="108" t="s">
        <v>187</v>
      </c>
      <c r="J7" s="108" t="s">
        <v>188</v>
      </c>
      <c r="K7" s="108" t="s">
        <v>189</v>
      </c>
      <c r="L7" s="108" t="s">
        <v>190</v>
      </c>
      <c r="M7" s="108" t="s">
        <v>191</v>
      </c>
      <c r="N7" s="108" t="s">
        <v>202</v>
      </c>
      <c r="O7" s="108" t="s">
        <v>203</v>
      </c>
      <c r="P7" s="108" t="s">
        <v>204</v>
      </c>
      <c r="Q7" s="108" t="s">
        <v>205</v>
      </c>
      <c r="R7" s="108" t="s">
        <v>206</v>
      </c>
      <c r="S7" s="108" t="s">
        <v>207</v>
      </c>
      <c r="T7" s="108" t="s">
        <v>208</v>
      </c>
      <c r="U7" s="108" t="s">
        <v>209</v>
      </c>
      <c r="V7" s="108" t="s">
        <v>210</v>
      </c>
      <c r="W7" s="108" t="s">
        <v>211</v>
      </c>
      <c r="X7" s="108" t="s">
        <v>212</v>
      </c>
      <c r="Y7" s="108" t="s">
        <v>213</v>
      </c>
      <c r="Z7" s="108" t="s">
        <v>214</v>
      </c>
      <c r="AA7" s="108" t="s">
        <v>215</v>
      </c>
      <c r="AB7" s="108" t="s">
        <v>216</v>
      </c>
    </row>
    <row r="8" spans="1:28">
      <c r="A8" s="10" t="s">
        <v>526</v>
      </c>
      <c r="B8" s="10"/>
      <c r="C8" s="112">
        <f>SUM(DRE!C6:C7)</f>
        <v>0</v>
      </c>
      <c r="D8" s="112">
        <f>SUM(DRE!D6:D7)</f>
        <v>12289022.510829179</v>
      </c>
      <c r="E8" s="112">
        <f>SUM(DRE!E6:E7)</f>
        <v>13100015.191427819</v>
      </c>
      <c r="F8" s="112">
        <f>SUM(DRE!F6:F7)</f>
        <v>13964529.622214803</v>
      </c>
      <c r="G8" s="112">
        <f>SUM(DRE!G6:G7)</f>
        <v>14886092.713042976</v>
      </c>
      <c r="H8" s="112">
        <f>SUM(DRE!H6:H7)</f>
        <v>15868476.520836726</v>
      </c>
      <c r="I8" s="112">
        <f>SUM(DRE!I6:I7)</f>
        <v>16915692.557277232</v>
      </c>
      <c r="J8" s="112">
        <f>SUM(DRE!J6:J7)</f>
        <v>18032012.269406464</v>
      </c>
      <c r="K8" s="112">
        <f>SUM(DRE!K6:K7)</f>
        <v>19222010.288940884</v>
      </c>
      <c r="L8" s="112">
        <f>SUM(DRE!L6:L7)</f>
        <v>20490535.633311249</v>
      </c>
      <c r="M8" s="112">
        <f>SUM(DRE!M6:M7)</f>
        <v>21842777.527866181</v>
      </c>
      <c r="N8" s="112">
        <f>SUM(DRE!N6:N7)</f>
        <v>23284251.198199511</v>
      </c>
      <c r="O8" s="112">
        <f>SUM(DRE!O6:O7)</f>
        <v>24820861.020508416</v>
      </c>
      <c r="P8" s="112">
        <f>SUM(DRE!P6:P7)</f>
        <v>26458876.630680621</v>
      </c>
      <c r="Q8" s="112">
        <f>SUM(DRE!Q6:Q7)</f>
        <v>28204997.532527462</v>
      </c>
      <c r="R8" s="112">
        <f>SUM(DRE!R6:R7)</f>
        <v>30066339.305201858</v>
      </c>
      <c r="S8" s="112">
        <f>SUM(DRE!S6:S7)</f>
        <v>32050519.784284282</v>
      </c>
      <c r="T8" s="112">
        <f>SUM(DRE!T6:T7)</f>
        <v>34165653.63872052</v>
      </c>
      <c r="U8" s="112">
        <f>SUM(DRE!U6:U7)</f>
        <v>36420369.406099364</v>
      </c>
      <c r="V8" s="112">
        <f>SUM(DRE!V6:V7)</f>
        <v>38823879.603999451</v>
      </c>
      <c r="W8" s="112">
        <f>SUM(DRE!W6:W7)</f>
        <v>41386019.910519831</v>
      </c>
      <c r="X8" s="112">
        <f>SUM(DRE!X6:X7)</f>
        <v>44117226.589677826</v>
      </c>
      <c r="Y8" s="112">
        <f>SUM(DRE!Y6:Y7)</f>
        <v>47028692.364514664</v>
      </c>
      <c r="Z8" s="112">
        <f>SUM(DRE!Z6:Z7)</f>
        <v>50132284.972258635</v>
      </c>
      <c r="AA8" s="112">
        <f>SUM(DRE!AA6:AA7)</f>
        <v>53440704.016592488</v>
      </c>
      <c r="AB8" s="112">
        <f>SUM(DRE!AB6:AB7)</f>
        <v>56967458.519823402</v>
      </c>
    </row>
    <row r="9" spans="1:28">
      <c r="A9" s="10" t="s">
        <v>449</v>
      </c>
      <c r="B9" s="10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</row>
    <row r="10" spans="1:28">
      <c r="A10" s="10" t="s">
        <v>450</v>
      </c>
      <c r="B10" s="10"/>
      <c r="C10" s="112"/>
      <c r="D10" s="112">
        <f>-'Custos de Operação'!C$6-'Custos de Operação'!C$26-'Invest. em Pre e Implantação'!$F$80</f>
        <v>-22121819.653333336</v>
      </c>
      <c r="E10" s="112">
        <f>-'Custos de Operação'!D$6-'Custos de Operação'!D$26</f>
        <v>-936077.89967999991</v>
      </c>
      <c r="F10" s="112">
        <f>-'Custos de Operação'!E$6-'Custos de Operação'!E$26</f>
        <v>-1000854.4903378559</v>
      </c>
      <c r="G10" s="112">
        <f>-'Custos de Operação'!F$6-'Custos de Operação'!F$26</f>
        <v>-1070113.6210692353</v>
      </c>
      <c r="H10" s="112">
        <f>-'Custos de Operação'!G$6-'Custos de Operação'!G$26</f>
        <v>-1144165.4836472264</v>
      </c>
      <c r="I10" s="112">
        <f>-'Custos de Operação'!H$6-'Custos de Operação'!H$26</f>
        <v>-1223341.7351156143</v>
      </c>
      <c r="J10" s="112">
        <f>-'Custos de Operação'!I$6-'Custos de Operação'!I$26</f>
        <v>-1307996.9831856149</v>
      </c>
      <c r="K10" s="112">
        <f>-'Custos de Operação'!J$6-'Custos de Operação'!J$26</f>
        <v>-1398510.3744220592</v>
      </c>
      <c r="L10" s="112">
        <f>-'Custos de Operação'!K$6-'Custos de Operação'!K$26</f>
        <v>-1495287.2923320655</v>
      </c>
      <c r="M10" s="112">
        <f>-'Custos de Operação'!L$6-'Custos de Operação'!L$26</f>
        <v>-1598761.1729614444</v>
      </c>
      <c r="N10" s="112">
        <f>-'Custos de Operação'!M$6-'Custos de Operação'!M$26-Reinvestimento!$I$18</f>
        <v>-6921383.5243021967</v>
      </c>
      <c r="O10" s="112">
        <f>-'Custos de Operação'!N$6-'Custos de Operação'!N$26</f>
        <v>-1827685.611002598</v>
      </c>
      <c r="P10" s="112">
        <f>-'Custos de Operação'!O$6-'Custos de Operação'!O$26</f>
        <v>-1954161.4552839778</v>
      </c>
      <c r="Q10" s="112">
        <f>-'Custos de Operação'!P$6-'Custos de Operação'!P$26</f>
        <v>-2089389.4279896289</v>
      </c>
      <c r="R10" s="112">
        <f>-'Custos de Operação'!Q$6-'Custos de Operação'!Q$26</f>
        <v>-2233975.1764065111</v>
      </c>
      <c r="S10" s="112">
        <f>-'Custos de Operação'!R$6-'Custos de Operação'!R$26</f>
        <v>-2388566.2586138416</v>
      </c>
      <c r="T10" s="112">
        <f>-'Custos de Operação'!S$6-'Custos de Operação'!S$26</f>
        <v>-2553855.0437099189</v>
      </c>
      <c r="U10" s="112">
        <f>-'Custos de Operação'!T$6-'Custos de Operação'!T$26</f>
        <v>-2730581.8127346449</v>
      </c>
      <c r="V10" s="112">
        <f>-'Custos de Operação'!U$6-'Custos de Operação'!U$26</f>
        <v>-2919538.0741758826</v>
      </c>
      <c r="W10" s="112">
        <f>-'Custos de Operação'!V$6-'Custos de Operação'!V$26</f>
        <v>-3121570.1089088535</v>
      </c>
      <c r="X10" s="112">
        <f>-'Custos de Operação'!W$6-'Custos de Operação'!W$26</f>
        <v>-3337582.7604453461</v>
      </c>
      <c r="Y10" s="112">
        <f>-'Custos de Operação'!X$6-'Custos de Operação'!X$26</f>
        <v>-3568543.4874681639</v>
      </c>
      <c r="Z10" s="112">
        <f>-'Custos de Operação'!Y$6-'Custos de Operação'!Y$26</f>
        <v>-3815486.6968009607</v>
      </c>
      <c r="AA10" s="112">
        <f>-'Custos de Operação'!Z$6-'Custos de Operação'!Z$26</f>
        <v>-4079518.3762195865</v>
      </c>
      <c r="AB10" s="112">
        <f>-'Custos de Operação'!AA$6-'Custos de Operação'!AA$26</f>
        <v>-4361821.0478539821</v>
      </c>
    </row>
    <row r="11" spans="1:28">
      <c r="A11" s="10" t="s">
        <v>451</v>
      </c>
      <c r="B11" s="10"/>
      <c r="C11" s="112"/>
      <c r="D11" s="112">
        <f>-'Custos de Operação'!C$6-'Custos de Operação'!C$26-'Invest. em Pre e Implantação'!$F$80</f>
        <v>-22121819.653333336</v>
      </c>
      <c r="E11" s="112">
        <f>-'Custos de Operação'!D$6-'Custos de Operação'!D$26</f>
        <v>-936077.89967999991</v>
      </c>
      <c r="F11" s="112">
        <f>-'Custos de Operação'!E$6-'Custos de Operação'!E$26</f>
        <v>-1000854.4903378559</v>
      </c>
      <c r="G11" s="112">
        <f>-'Custos de Operação'!F$6-'Custos de Operação'!F$26</f>
        <v>-1070113.6210692353</v>
      </c>
      <c r="H11" s="112">
        <f>-'Custos de Operação'!G$6-'Custos de Operação'!G$26</f>
        <v>-1144165.4836472264</v>
      </c>
      <c r="I11" s="112">
        <f>-'Custos de Operação'!H$6-'Custos de Operação'!H$26</f>
        <v>-1223341.7351156143</v>
      </c>
      <c r="J11" s="112">
        <f>-'Custos de Operação'!I$6-'Custos de Operação'!I$26</f>
        <v>-1307996.9831856149</v>
      </c>
      <c r="K11" s="112">
        <f>-'Custos de Operação'!J$6-'Custos de Operação'!J$26</f>
        <v>-1398510.3744220592</v>
      </c>
      <c r="L11" s="112">
        <f>-'Custos de Operação'!K$6-'Custos de Operação'!K$26</f>
        <v>-1495287.2923320655</v>
      </c>
      <c r="M11" s="112">
        <f>-'Custos de Operação'!L$6-'Custos de Operação'!L$26</f>
        <v>-1598761.1729614444</v>
      </c>
      <c r="N11" s="112">
        <f>-'Custos de Operação'!M$6-'Custos de Operação'!M$26-Reinvestimento!$I$18</f>
        <v>-6921383.5243021967</v>
      </c>
      <c r="O11" s="112">
        <f>-'Custos de Operação'!N$6-'Custos de Operação'!N$26</f>
        <v>-1827685.611002598</v>
      </c>
      <c r="P11" s="112">
        <f>-'Custos de Operação'!O$6-'Custos de Operação'!O$26</f>
        <v>-1954161.4552839778</v>
      </c>
      <c r="Q11" s="112">
        <f>-'Custos de Operação'!P$6-'Custos de Operação'!P$26</f>
        <v>-2089389.4279896289</v>
      </c>
      <c r="R11" s="112">
        <f>-'Custos de Operação'!Q$6-'Custos de Operação'!Q$26</f>
        <v>-2233975.1764065111</v>
      </c>
      <c r="S11" s="112">
        <f>-'Custos de Operação'!R$6-'Custos de Operação'!R$26</f>
        <v>-2388566.2586138416</v>
      </c>
      <c r="T11" s="112">
        <f>-'Custos de Operação'!S$6-'Custos de Operação'!S$26</f>
        <v>-2553855.0437099189</v>
      </c>
      <c r="U11" s="112">
        <f>-'Custos de Operação'!T$6-'Custos de Operação'!T$26</f>
        <v>-2730581.8127346449</v>
      </c>
      <c r="V11" s="112">
        <f>-'Custos de Operação'!U$6-'Custos de Operação'!U$26</f>
        <v>-2919538.0741758826</v>
      </c>
      <c r="W11" s="112">
        <f>-'Custos de Operação'!V$6-'Custos de Operação'!V$26</f>
        <v>-3121570.1089088535</v>
      </c>
      <c r="X11" s="112">
        <f>-'Custos de Operação'!W$6-'Custos de Operação'!W$26</f>
        <v>-3337582.7604453461</v>
      </c>
      <c r="Y11" s="112">
        <f>-'Custos de Operação'!X$6-'Custos de Operação'!X$26</f>
        <v>-3568543.4874681639</v>
      </c>
      <c r="Z11" s="112">
        <f>-'Custos de Operação'!Y$6-'Custos de Operação'!Y$26</f>
        <v>-3815486.6968009607</v>
      </c>
      <c r="AA11" s="112">
        <f>-'Custos de Operação'!Z$6-'Custos de Operação'!Z$26</f>
        <v>-4079518.3762195865</v>
      </c>
      <c r="AB11" s="112">
        <f>-'Custos de Operação'!AA$6-'Custos de Operação'!AA$26</f>
        <v>-4361821.0478539821</v>
      </c>
    </row>
    <row r="12" spans="1:28">
      <c r="A12" s="10" t="s">
        <v>452</v>
      </c>
      <c r="B12" s="10"/>
      <c r="C12" s="112">
        <f>-$B2*(C$8-C9)</f>
        <v>0</v>
      </c>
      <c r="D12" s="112">
        <f>-$B2*(D$8+D9)</f>
        <v>-2212024.0519492519</v>
      </c>
      <c r="E12" s="112">
        <f t="shared" ref="E12:AB12" si="0">-$B2*(E$8+E9)</f>
        <v>-2358002.7344570076</v>
      </c>
      <c r="F12" s="112">
        <f t="shared" si="0"/>
        <v>-2513615.3319986644</v>
      </c>
      <c r="G12" s="112">
        <f t="shared" si="0"/>
        <v>-2679496.6883477354</v>
      </c>
      <c r="H12" s="112">
        <f t="shared" si="0"/>
        <v>-2856325.7737506106</v>
      </c>
      <c r="I12" s="112">
        <f t="shared" si="0"/>
        <v>-3044824.6603099019</v>
      </c>
      <c r="J12" s="112">
        <f t="shared" si="0"/>
        <v>-3245762.2084931633</v>
      </c>
      <c r="K12" s="112">
        <f t="shared" si="0"/>
        <v>-3459961.8520093588</v>
      </c>
      <c r="L12" s="112">
        <f t="shared" si="0"/>
        <v>-3688296.4139960245</v>
      </c>
      <c r="M12" s="112">
        <f t="shared" si="0"/>
        <v>-3931699.9550159127</v>
      </c>
      <c r="N12" s="112">
        <f t="shared" si="0"/>
        <v>-4191165.2156759119</v>
      </c>
      <c r="O12" s="112">
        <f t="shared" si="0"/>
        <v>-4467754.9836915145</v>
      </c>
      <c r="P12" s="112">
        <f t="shared" si="0"/>
        <v>-4762597.7935225116</v>
      </c>
      <c r="Q12" s="112">
        <f t="shared" si="0"/>
        <v>-5076899.5558549426</v>
      </c>
      <c r="R12" s="112">
        <f t="shared" si="0"/>
        <v>-5411941.074936334</v>
      </c>
      <c r="S12" s="112">
        <f t="shared" si="0"/>
        <v>-5769093.5611711703</v>
      </c>
      <c r="T12" s="112">
        <f t="shared" si="0"/>
        <v>-6149817.6549696932</v>
      </c>
      <c r="U12" s="112">
        <f t="shared" si="0"/>
        <v>-6555666.4930978855</v>
      </c>
      <c r="V12" s="112">
        <f t="shared" si="0"/>
        <v>-6988298.3287199009</v>
      </c>
      <c r="W12" s="112">
        <f t="shared" si="0"/>
        <v>-7449483.5838935692</v>
      </c>
      <c r="X12" s="112">
        <f t="shared" si="0"/>
        <v>-7941100.7861420084</v>
      </c>
      <c r="Y12" s="112">
        <f t="shared" si="0"/>
        <v>-8465164.6256126389</v>
      </c>
      <c r="Z12" s="112">
        <f t="shared" si="0"/>
        <v>-9023811.2950065546</v>
      </c>
      <c r="AA12" s="112">
        <f t="shared" si="0"/>
        <v>-9619326.7229866479</v>
      </c>
      <c r="AB12" s="112">
        <f t="shared" si="0"/>
        <v>-10254142.533568213</v>
      </c>
    </row>
    <row r="13" spans="1:28">
      <c r="A13" s="10" t="s">
        <v>453</v>
      </c>
      <c r="B13" s="10"/>
      <c r="C13" s="112">
        <f>-$B3*(C$8-C10)</f>
        <v>0</v>
      </c>
      <c r="D13" s="112">
        <f>IF(D$8+D10&gt;0,-$B3*(D$8+D10),0)</f>
        <v>0</v>
      </c>
      <c r="E13" s="112">
        <f t="shared" ref="E13:AB13" si="1">IF(E$8+E10&gt;0,-$B3*(E$8+E10),0)</f>
        <v>-200704.96531383903</v>
      </c>
      <c r="F13" s="112">
        <f t="shared" si="1"/>
        <v>-213900.63967596964</v>
      </c>
      <c r="G13" s="112">
        <f t="shared" si="1"/>
        <v>-227963.65501756672</v>
      </c>
      <c r="H13" s="112">
        <f t="shared" si="1"/>
        <v>-242951.13211362675</v>
      </c>
      <c r="I13" s="112">
        <f t="shared" si="1"/>
        <v>-258923.78856566671</v>
      </c>
      <c r="J13" s="112">
        <f t="shared" si="1"/>
        <v>-275946.25222264399</v>
      </c>
      <c r="K13" s="112">
        <f t="shared" si="1"/>
        <v>-294087.74858956062</v>
      </c>
      <c r="L13" s="112">
        <f t="shared" si="1"/>
        <v>-313421.59762615658</v>
      </c>
      <c r="M13" s="112">
        <f t="shared" si="1"/>
        <v>-334026.2698559282</v>
      </c>
      <c r="N13" s="112">
        <f t="shared" si="1"/>
        <v>-269987.3166193057</v>
      </c>
      <c r="O13" s="112">
        <f t="shared" si="1"/>
        <v>-379387.39425684599</v>
      </c>
      <c r="P13" s="112">
        <f t="shared" si="1"/>
        <v>-404327.80039404467</v>
      </c>
      <c r="Q13" s="112">
        <f t="shared" si="1"/>
        <v>-430907.53372487426</v>
      </c>
      <c r="R13" s="112">
        <f t="shared" si="1"/>
        <v>-459234.00812512328</v>
      </c>
      <c r="S13" s="112">
        <f t="shared" si="1"/>
        <v>-489422.23317356227</v>
      </c>
      <c r="T13" s="112">
        <f t="shared" si="1"/>
        <v>-521594.67681767495</v>
      </c>
      <c r="U13" s="112">
        <f t="shared" si="1"/>
        <v>-555881.49529051781</v>
      </c>
      <c r="V13" s="112">
        <f t="shared" si="1"/>
        <v>-592421.63524208893</v>
      </c>
      <c r="W13" s="112">
        <f t="shared" si="1"/>
        <v>-631363.42172658117</v>
      </c>
      <c r="X13" s="112">
        <f t="shared" si="1"/>
        <v>-672864.12318233587</v>
      </c>
      <c r="Y13" s="112">
        <f t="shared" si="1"/>
        <v>-717092.45647126739</v>
      </c>
      <c r="Z13" s="112">
        <f t="shared" si="1"/>
        <v>-764227.17154505162</v>
      </c>
      <c r="AA13" s="112">
        <f t="shared" si="1"/>
        <v>-814459.56306615297</v>
      </c>
      <c r="AB13" s="112">
        <f t="shared" si="1"/>
        <v>-867993.01828749548</v>
      </c>
    </row>
    <row r="14" spans="1:28">
      <c r="A14" s="10" t="s">
        <v>454</v>
      </c>
      <c r="B14" s="10"/>
      <c r="C14" s="112">
        <f t="shared" ref="C14" si="2">-$B4*(C$8-C11)</f>
        <v>0</v>
      </c>
      <c r="D14" s="112">
        <f>IF(D$8+D11&gt;0,-$B4*(D$8+D11),0)</f>
        <v>0</v>
      </c>
      <c r="E14" s="112">
        <f t="shared" ref="E14:AB14" si="3">IF(E$8+E11&gt;0,-$B4*(E$8+E11),0)</f>
        <v>-924459.23417283432</v>
      </c>
      <c r="F14" s="112">
        <f t="shared" si="3"/>
        <v>-985239.31002264796</v>
      </c>
      <c r="G14" s="112">
        <f t="shared" si="3"/>
        <v>-1050014.4109900042</v>
      </c>
      <c r="H14" s="112">
        <f t="shared" si="3"/>
        <v>-1119047.6388264019</v>
      </c>
      <c r="I14" s="112">
        <f t="shared" si="3"/>
        <v>-1192618.6624842831</v>
      </c>
      <c r="J14" s="112">
        <f t="shared" si="3"/>
        <v>-1271025.1617527844</v>
      </c>
      <c r="K14" s="112">
        <f t="shared" si="3"/>
        <v>-1354585.9935034306</v>
      </c>
      <c r="L14" s="112">
        <f t="shared" si="3"/>
        <v>-1443638.873914418</v>
      </c>
      <c r="M14" s="112">
        <f t="shared" si="3"/>
        <v>-1538545.24297276</v>
      </c>
      <c r="N14" s="112">
        <f t="shared" si="3"/>
        <v>-1243577.9432161958</v>
      </c>
      <c r="O14" s="112">
        <f t="shared" si="3"/>
        <v>-1747481.3311224421</v>
      </c>
      <c r="P14" s="112">
        <f t="shared" si="3"/>
        <v>-1862358.3533301449</v>
      </c>
      <c r="Q14" s="112">
        <f t="shared" si="3"/>
        <v>-1984786.2159448753</v>
      </c>
      <c r="R14" s="112">
        <f t="shared" si="3"/>
        <v>-2115259.6737884465</v>
      </c>
      <c r="S14" s="112">
        <f t="shared" si="3"/>
        <v>-2254308.4679509532</v>
      </c>
      <c r="T14" s="112">
        <f t="shared" si="3"/>
        <v>-2402496.6932208058</v>
      </c>
      <c r="U14" s="112">
        <f t="shared" si="3"/>
        <v>-2560423.8570957184</v>
      </c>
      <c r="V14" s="112">
        <f t="shared" si="3"/>
        <v>-2728729.9562665913</v>
      </c>
      <c r="W14" s="112">
        <f t="shared" si="3"/>
        <v>-2908098.1849224339</v>
      </c>
      <c r="X14" s="112">
        <f t="shared" si="3"/>
        <v>-3099252.931021668</v>
      </c>
      <c r="Y14" s="112">
        <f t="shared" si="3"/>
        <v>-3302971.314655534</v>
      </c>
      <c r="Z14" s="112">
        <f t="shared" si="3"/>
        <v>-3520076.668934783</v>
      </c>
      <c r="AA14" s="112">
        <f t="shared" si="3"/>
        <v>-3751450.1086683404</v>
      </c>
      <c r="AB14" s="112">
        <f t="shared" si="3"/>
        <v>-3998028.4478696757</v>
      </c>
    </row>
    <row r="15" spans="1:28">
      <c r="A15" s="10" t="s">
        <v>455</v>
      </c>
      <c r="B15" s="10"/>
      <c r="C15" s="112">
        <f>SUM(C12:C14)</f>
        <v>0</v>
      </c>
      <c r="D15" s="112">
        <f t="shared" ref="D15:AB15" si="4">SUM(D12:D14)</f>
        <v>-2212024.0519492519</v>
      </c>
      <c r="E15" s="112">
        <f t="shared" si="4"/>
        <v>-3483166.9339436805</v>
      </c>
      <c r="F15" s="112">
        <f t="shared" si="4"/>
        <v>-3712755.2816972821</v>
      </c>
      <c r="G15" s="112">
        <f t="shared" si="4"/>
        <v>-3957474.7543553067</v>
      </c>
      <c r="H15" s="112">
        <f t="shared" si="4"/>
        <v>-4218324.5446906388</v>
      </c>
      <c r="I15" s="112">
        <f t="shared" si="4"/>
        <v>-4496367.1113598514</v>
      </c>
      <c r="J15" s="112">
        <f t="shared" si="4"/>
        <v>-4792733.6224685917</v>
      </c>
      <c r="K15" s="112">
        <f t="shared" si="4"/>
        <v>-5108635.5941023501</v>
      </c>
      <c r="L15" s="112">
        <f t="shared" si="4"/>
        <v>-5445356.885536599</v>
      </c>
      <c r="M15" s="112">
        <f t="shared" si="4"/>
        <v>-5804271.4678446017</v>
      </c>
      <c r="N15" s="112">
        <f t="shared" si="4"/>
        <v>-5704730.4755114131</v>
      </c>
      <c r="O15" s="112">
        <f t="shared" si="4"/>
        <v>-6594623.7090708027</v>
      </c>
      <c r="P15" s="112">
        <f t="shared" si="4"/>
        <v>-7029283.9472467005</v>
      </c>
      <c r="Q15" s="112">
        <f t="shared" si="4"/>
        <v>-7492593.3055246919</v>
      </c>
      <c r="R15" s="112">
        <f t="shared" si="4"/>
        <v>-7986434.7568499036</v>
      </c>
      <c r="S15" s="112">
        <f t="shared" si="4"/>
        <v>-8512824.2622956857</v>
      </c>
      <c r="T15" s="112">
        <f t="shared" si="4"/>
        <v>-9073909.0250081737</v>
      </c>
      <c r="U15" s="112">
        <f t="shared" si="4"/>
        <v>-9671971.8454841226</v>
      </c>
      <c r="V15" s="112">
        <f t="shared" si="4"/>
        <v>-10309449.920228582</v>
      </c>
      <c r="W15" s="112">
        <f t="shared" si="4"/>
        <v>-10988945.190542584</v>
      </c>
      <c r="X15" s="112">
        <f t="shared" si="4"/>
        <v>-11713217.840346012</v>
      </c>
      <c r="Y15" s="112">
        <f t="shared" si="4"/>
        <v>-12485228.396739442</v>
      </c>
      <c r="Z15" s="112">
        <f t="shared" si="4"/>
        <v>-13308115.135486389</v>
      </c>
      <c r="AA15" s="112">
        <f t="shared" si="4"/>
        <v>-14185236.394721141</v>
      </c>
      <c r="AB15" s="112">
        <f t="shared" si="4"/>
        <v>-15120163.999725383</v>
      </c>
    </row>
    <row r="16" spans="1:28">
      <c r="A16" s="109" t="s">
        <v>437</v>
      </c>
      <c r="B16" s="107"/>
      <c r="C16" s="108" t="s">
        <v>181</v>
      </c>
      <c r="D16" s="108" t="s">
        <v>182</v>
      </c>
      <c r="E16" s="108" t="s">
        <v>183</v>
      </c>
      <c r="F16" s="108" t="s">
        <v>184</v>
      </c>
      <c r="G16" s="108" t="s">
        <v>185</v>
      </c>
      <c r="H16" s="108" t="s">
        <v>186</v>
      </c>
      <c r="I16" s="108" t="s">
        <v>187</v>
      </c>
      <c r="J16" s="108" t="s">
        <v>188</v>
      </c>
      <c r="K16" s="108" t="s">
        <v>189</v>
      </c>
      <c r="L16" s="108" t="s">
        <v>190</v>
      </c>
      <c r="M16" s="108" t="s">
        <v>191</v>
      </c>
      <c r="N16" s="108" t="s">
        <v>202</v>
      </c>
      <c r="O16" s="108" t="s">
        <v>203</v>
      </c>
      <c r="P16" s="108" t="s">
        <v>204</v>
      </c>
      <c r="Q16" s="108" t="s">
        <v>205</v>
      </c>
      <c r="R16" s="108" t="s">
        <v>206</v>
      </c>
      <c r="S16" s="108" t="s">
        <v>207</v>
      </c>
      <c r="T16" s="108" t="s">
        <v>208</v>
      </c>
      <c r="U16" s="108" t="s">
        <v>209</v>
      </c>
      <c r="V16" s="108" t="s">
        <v>210</v>
      </c>
      <c r="W16" s="108" t="s">
        <v>211</v>
      </c>
      <c r="X16" s="108" t="s">
        <v>212</v>
      </c>
      <c r="Y16" s="108" t="s">
        <v>213</v>
      </c>
      <c r="Z16" s="108" t="s">
        <v>214</v>
      </c>
      <c r="AA16" s="108" t="s">
        <v>215</v>
      </c>
      <c r="AB16" s="108" t="s">
        <v>216</v>
      </c>
    </row>
    <row r="17" spans="1:28">
      <c r="A17" s="10" t="s">
        <v>527</v>
      </c>
      <c r="B17" s="10"/>
      <c r="C17" s="112">
        <f>SUM(DRE!C4:C5)</f>
        <v>0</v>
      </c>
      <c r="D17" s="112">
        <f>SUM(DRE!D4:D5)</f>
        <v>12836922.34616334</v>
      </c>
      <c r="E17" s="112">
        <f>SUM(DRE!E4:E5)</f>
        <v>13674547.556553597</v>
      </c>
      <c r="F17" s="112">
        <f>SUM(DRE!F4:F5)</f>
        <v>14566893.968253523</v>
      </c>
      <c r="G17" s="112">
        <f>SUM(DRE!G4:G5)</f>
        <v>15517539.870500267</v>
      </c>
      <c r="H17" s="112">
        <f>SUM(DRE!H4:H5)</f>
        <v>16530298.249007691</v>
      </c>
      <c r="I17" s="112">
        <f>SUM(DRE!I4:I5)</f>
        <v>17609232.272327498</v>
      </c>
      <c r="J17" s="112">
        <f>SUM(DRE!J4:J5)</f>
        <v>18758669.880729146</v>
      </c>
      <c r="K17" s="112">
        <f>SUM(DRE!K4:K5)</f>
        <v>19983223.22592368</v>
      </c>
      <c r="L17" s="112">
        <f>SUM(DRE!L4:L5)</f>
        <v>21287805.698665716</v>
      </c>
      <c r="M17" s="112">
        <f>SUM(DRE!M4:M5)</f>
        <v>22677653.780881912</v>
      </c>
      <c r="N17" s="112">
        <f>SUM(DRE!N4:N5)</f>
        <v>24158344.911413375</v>
      </c>
      <c r="O17" s="112">
        <f>SUM(DRE!O4:O5)</f>
        <v>25735823.212802351</v>
      </c>
      <c r="P17" s="112">
        <f>SUM(DRE!P4:P5)</f>
        <v>27416421.613992542</v>
      </c>
      <c r="Q17" s="112">
        <f>SUM(DRE!Q4:Q5)</f>
        <v>29206887.697794121</v>
      </c>
      <c r="R17" s="112">
        <f>SUM(DRE!R4:R5)</f>
        <v>31114411.866074603</v>
      </c>
      <c r="S17" s="112">
        <f>SUM(DRE!S4:S5)</f>
        <v>33146653.899524879</v>
      </c>
      <c r="T17" s="112">
        <f>SUM(DRE!T4:T5)</f>
        <v>35311776.179235645</v>
      </c>
      <c r="U17" s="112">
        <f>SUM(DRE!U4:U5)</f>
        <v>37618475.651574805</v>
      </c>
      <c r="V17" s="112">
        <f>SUM(DRE!V4:V5)</f>
        <v>40076018.846830741</v>
      </c>
      <c r="W17" s="112">
        <f>SUM(DRE!W4:W5)</f>
        <v>42694280.527670778</v>
      </c>
      <c r="X17" s="112">
        <f>SUM(DRE!X4:X5)</f>
        <v>45483780.297928065</v>
      </c>
      <c r="Y17" s="112">
        <f>SUM(DRE!Y4:Y5)</f>
        <v>48455727.384025015</v>
      </c>
      <c r="Z17" s="112">
        <f>SUM(DRE!Z4:Z5)</f>
        <v>51622066.754998066</v>
      </c>
      <c r="AA17" s="112">
        <f>SUM(DRE!AA4:AA5)</f>
        <v>54995525.997548103</v>
      </c>
      <c r="AB17" s="112">
        <f>SUM(DRE!AB4:AB5)</f>
        <v>58589663.953078926</v>
      </c>
    </row>
    <row r="18" spans="1:28">
      <c r="A18" s="10" t="s">
        <v>450</v>
      </c>
      <c r="B18" s="10"/>
      <c r="C18" s="112"/>
      <c r="D18" s="112">
        <f>-'Custos de Operação'!C$6-'Custos de Operação'!C$26-'Invest. em Pre e Implantação'!$F$80</f>
        <v>-22121819.653333336</v>
      </c>
      <c r="E18" s="112">
        <f>-'Custos de Operação'!D$6-'Custos de Operação'!D$26</f>
        <v>-936077.89967999991</v>
      </c>
      <c r="F18" s="112">
        <f>-'Custos de Operação'!E$6-'Custos de Operação'!E$26</f>
        <v>-1000854.4903378559</v>
      </c>
      <c r="G18" s="112">
        <f>-'Custos de Operação'!F$6-'Custos de Operação'!F$26</f>
        <v>-1070113.6210692353</v>
      </c>
      <c r="H18" s="112">
        <f>-'Custos de Operação'!G$6-'Custos de Operação'!G$26</f>
        <v>-1144165.4836472264</v>
      </c>
      <c r="I18" s="112">
        <f>-'Custos de Operação'!H$6-'Custos de Operação'!H$26</f>
        <v>-1223341.7351156143</v>
      </c>
      <c r="J18" s="112">
        <f>-'Custos de Operação'!I$6-'Custos de Operação'!I$26</f>
        <v>-1307996.9831856149</v>
      </c>
      <c r="K18" s="112">
        <f>-'Custos de Operação'!J$6-'Custos de Operação'!J$26</f>
        <v>-1398510.3744220592</v>
      </c>
      <c r="L18" s="112">
        <f>-'Custos de Operação'!K$6-'Custos de Operação'!K$26</f>
        <v>-1495287.2923320655</v>
      </c>
      <c r="M18" s="112">
        <f>-'Custos de Operação'!L$6-'Custos de Operação'!L$26</f>
        <v>-1598761.1729614444</v>
      </c>
      <c r="N18" s="112">
        <f>-'Custos de Operação'!M$6-'Custos de Operação'!M$26-Reinvestimento!$I$18</f>
        <v>-6921383.5243021967</v>
      </c>
      <c r="O18" s="112">
        <f>-'Custos de Operação'!N$6-'Custos de Operação'!N$26</f>
        <v>-1827685.611002598</v>
      </c>
      <c r="P18" s="112">
        <f>-'Custos de Operação'!O$6-'Custos de Operação'!O$26</f>
        <v>-1954161.4552839778</v>
      </c>
      <c r="Q18" s="112">
        <f>-'Custos de Operação'!P$6-'Custos de Operação'!P$26</f>
        <v>-2089389.4279896289</v>
      </c>
      <c r="R18" s="112">
        <f>-'Custos de Operação'!Q$6-'Custos de Operação'!Q$26</f>
        <v>-2233975.1764065111</v>
      </c>
      <c r="S18" s="112">
        <f>-'Custos de Operação'!R$6-'Custos de Operação'!R$26</f>
        <v>-2388566.2586138416</v>
      </c>
      <c r="T18" s="112">
        <f>-'Custos de Operação'!S$6-'Custos de Operação'!S$26</f>
        <v>-2553855.0437099189</v>
      </c>
      <c r="U18" s="112">
        <f>-'Custos de Operação'!T$6-'Custos de Operação'!T$26</f>
        <v>-2730581.8127346449</v>
      </c>
      <c r="V18" s="112">
        <f>-'Custos de Operação'!U$6-'Custos de Operação'!U$26</f>
        <v>-2919538.0741758826</v>
      </c>
      <c r="W18" s="112">
        <f>-'Custos de Operação'!V$6-'Custos de Operação'!V$26</f>
        <v>-3121570.1089088535</v>
      </c>
      <c r="X18" s="112">
        <f>-'Custos de Operação'!W$6-'Custos de Operação'!W$26</f>
        <v>-3337582.7604453461</v>
      </c>
      <c r="Y18" s="112">
        <f>-'Custos de Operação'!X$6-'Custos de Operação'!X$26</f>
        <v>-3568543.4874681639</v>
      </c>
      <c r="Z18" s="112">
        <f>-'Custos de Operação'!Y$6-'Custos de Operação'!Y$26</f>
        <v>-3815486.6968009607</v>
      </c>
      <c r="AA18" s="112">
        <f>-'Custos de Operação'!Z$6-'Custos de Operação'!Z$26</f>
        <v>-4079518.3762195865</v>
      </c>
      <c r="AB18" s="112">
        <f>-'Custos de Operação'!AA$6-'Custos de Operação'!AA$26</f>
        <v>-4361821.0478539821</v>
      </c>
    </row>
    <row r="19" spans="1:28">
      <c r="A19" s="10" t="s">
        <v>451</v>
      </c>
      <c r="B19" s="10"/>
      <c r="C19" s="112"/>
      <c r="D19" s="112">
        <f>-'Custos de Operação'!C$6-'Custos de Operação'!C$26-'Invest. em Pre e Implantação'!$F$80</f>
        <v>-22121819.653333336</v>
      </c>
      <c r="E19" s="112">
        <f>-'Custos de Operação'!D$6-'Custos de Operação'!D$26</f>
        <v>-936077.89967999991</v>
      </c>
      <c r="F19" s="112">
        <f>-'Custos de Operação'!E$6-'Custos de Operação'!E$26</f>
        <v>-1000854.4903378559</v>
      </c>
      <c r="G19" s="112">
        <f>-'Custos de Operação'!F$6-'Custos de Operação'!F$26</f>
        <v>-1070113.6210692353</v>
      </c>
      <c r="H19" s="112">
        <f>-'Custos de Operação'!G$6-'Custos de Operação'!G$26</f>
        <v>-1144165.4836472264</v>
      </c>
      <c r="I19" s="112">
        <f>-'Custos de Operação'!H$6-'Custos de Operação'!H$26</f>
        <v>-1223341.7351156143</v>
      </c>
      <c r="J19" s="112">
        <f>-'Custos de Operação'!I$6-'Custos de Operação'!I$26</f>
        <v>-1307996.9831856149</v>
      </c>
      <c r="K19" s="112">
        <f>-'Custos de Operação'!J$6-'Custos de Operação'!J$26</f>
        <v>-1398510.3744220592</v>
      </c>
      <c r="L19" s="112">
        <f>-'Custos de Operação'!K$6-'Custos de Operação'!K$26</f>
        <v>-1495287.2923320655</v>
      </c>
      <c r="M19" s="112">
        <f>-'Custos de Operação'!L$6-'Custos de Operação'!L$26</f>
        <v>-1598761.1729614444</v>
      </c>
      <c r="N19" s="112">
        <f>-'Custos de Operação'!M$6-'Custos de Operação'!M$26-Reinvestimento!$I$18</f>
        <v>-6921383.5243021967</v>
      </c>
      <c r="O19" s="112">
        <f>-'Custos de Operação'!N$6-'Custos de Operação'!N$26</f>
        <v>-1827685.611002598</v>
      </c>
      <c r="P19" s="112">
        <f>-'Custos de Operação'!O$6-'Custos de Operação'!O$26</f>
        <v>-1954161.4552839778</v>
      </c>
      <c r="Q19" s="112">
        <f>-'Custos de Operação'!P$6-'Custos de Operação'!P$26</f>
        <v>-2089389.4279896289</v>
      </c>
      <c r="R19" s="112">
        <f>-'Custos de Operação'!Q$6-'Custos de Operação'!Q$26</f>
        <v>-2233975.1764065111</v>
      </c>
      <c r="S19" s="112">
        <f>-'Custos de Operação'!R$6-'Custos de Operação'!R$26</f>
        <v>-2388566.2586138416</v>
      </c>
      <c r="T19" s="112">
        <f>-'Custos de Operação'!S$6-'Custos de Operação'!S$26</f>
        <v>-2553855.0437099189</v>
      </c>
      <c r="U19" s="112">
        <f>-'Custos de Operação'!T$6-'Custos de Operação'!T$26</f>
        <v>-2730581.8127346449</v>
      </c>
      <c r="V19" s="112">
        <f>-'Custos de Operação'!U$6-'Custos de Operação'!U$26</f>
        <v>-2919538.0741758826</v>
      </c>
      <c r="W19" s="112">
        <f>-'Custos de Operação'!V$6-'Custos de Operação'!V$26</f>
        <v>-3121570.1089088535</v>
      </c>
      <c r="X19" s="112">
        <f>-'Custos de Operação'!W$6-'Custos de Operação'!W$26</f>
        <v>-3337582.7604453461</v>
      </c>
      <c r="Y19" s="112">
        <f>-'Custos de Operação'!X$6-'Custos de Operação'!X$26</f>
        <v>-3568543.4874681639</v>
      </c>
      <c r="Z19" s="112">
        <f>-'Custos de Operação'!Y$6-'Custos de Operação'!Y$26</f>
        <v>-3815486.6968009607</v>
      </c>
      <c r="AA19" s="112">
        <f>-'Custos de Operação'!Z$6-'Custos de Operação'!Z$26</f>
        <v>-4079518.3762195865</v>
      </c>
      <c r="AB19" s="112">
        <f>-'Custos de Operação'!AA$6-'Custos de Operação'!AA$26</f>
        <v>-4361821.0478539821</v>
      </c>
    </row>
    <row r="20" spans="1:28">
      <c r="A20" s="10" t="s">
        <v>456</v>
      </c>
      <c r="B20" s="10"/>
      <c r="C20" s="112">
        <f>-$E2*C17</f>
        <v>0</v>
      </c>
      <c r="D20" s="112">
        <f>-$E2*D17</f>
        <v>-641846.11730816704</v>
      </c>
      <c r="E20" s="112">
        <f t="shared" ref="E20:AB20" si="5">-$E2*E17</f>
        <v>-683727.37782767985</v>
      </c>
      <c r="F20" s="112">
        <f t="shared" si="5"/>
        <v>-728344.69841267623</v>
      </c>
      <c r="G20" s="112">
        <f t="shared" si="5"/>
        <v>-775876.99352501333</v>
      </c>
      <c r="H20" s="112">
        <f t="shared" si="5"/>
        <v>-826514.91245038458</v>
      </c>
      <c r="I20" s="112">
        <f t="shared" si="5"/>
        <v>-880461.6136163749</v>
      </c>
      <c r="J20" s="112">
        <f t="shared" si="5"/>
        <v>-937933.49403645738</v>
      </c>
      <c r="K20" s="112">
        <f t="shared" si="5"/>
        <v>-999161.16129618406</v>
      </c>
      <c r="L20" s="112">
        <f t="shared" si="5"/>
        <v>-1064390.2849332858</v>
      </c>
      <c r="M20" s="112">
        <f t="shared" si="5"/>
        <v>-1133882.6890440956</v>
      </c>
      <c r="N20" s="112">
        <f t="shared" si="5"/>
        <v>-1207917.2455706687</v>
      </c>
      <c r="O20" s="112">
        <f t="shared" si="5"/>
        <v>-1286791.1606401177</v>
      </c>
      <c r="P20" s="112">
        <f t="shared" si="5"/>
        <v>-1370821.0806996273</v>
      </c>
      <c r="Q20" s="112">
        <f t="shared" si="5"/>
        <v>-1460344.384889706</v>
      </c>
      <c r="R20" s="112">
        <f t="shared" si="5"/>
        <v>-1555720.5933037302</v>
      </c>
      <c r="S20" s="112">
        <f t="shared" si="5"/>
        <v>-1657332.6949762441</v>
      </c>
      <c r="T20" s="112">
        <f t="shared" si="5"/>
        <v>-1765588.8089617824</v>
      </c>
      <c r="U20" s="112">
        <f t="shared" si="5"/>
        <v>-1880923.7825787403</v>
      </c>
      <c r="V20" s="112">
        <f t="shared" si="5"/>
        <v>-2003800.9423415372</v>
      </c>
      <c r="W20" s="112">
        <f t="shared" si="5"/>
        <v>-2134714.0263835392</v>
      </c>
      <c r="X20" s="112">
        <f t="shared" si="5"/>
        <v>-2274189.0148964035</v>
      </c>
      <c r="Y20" s="112">
        <f t="shared" si="5"/>
        <v>-2422786.3692012508</v>
      </c>
      <c r="Z20" s="112">
        <f t="shared" si="5"/>
        <v>-2581103.3377499036</v>
      </c>
      <c r="AA20" s="112">
        <f t="shared" si="5"/>
        <v>-2749776.2998774052</v>
      </c>
      <c r="AB20" s="112">
        <f t="shared" si="5"/>
        <v>-2929483.1976539465</v>
      </c>
    </row>
    <row r="21" spans="1:28">
      <c r="A21" s="10" t="s">
        <v>453</v>
      </c>
      <c r="B21" s="10"/>
      <c r="C21" s="112">
        <f>-$E3*(C$17-C18)</f>
        <v>0</v>
      </c>
      <c r="D21" s="112">
        <f>IF(D$17+D18&gt;0,-$E3*(D$17+D18),0)</f>
        <v>0</v>
      </c>
      <c r="E21" s="112">
        <f t="shared" ref="E21:AB21" si="6">IF(E$17+E18&gt;0,-$E3*(E$17+E18),0)</f>
        <v>-210184.74933841435</v>
      </c>
      <c r="F21" s="112">
        <f t="shared" si="6"/>
        <v>-223839.65138560851</v>
      </c>
      <c r="G21" s="112">
        <f t="shared" si="6"/>
        <v>-238382.53311561202</v>
      </c>
      <c r="H21" s="112">
        <f t="shared" si="6"/>
        <v>-253871.19062844766</v>
      </c>
      <c r="I21" s="112">
        <f t="shared" si="6"/>
        <v>-270367.19386399607</v>
      </c>
      <c r="J21" s="112">
        <f t="shared" si="6"/>
        <v>-287936.10280946828</v>
      </c>
      <c r="K21" s="112">
        <f t="shared" si="6"/>
        <v>-306647.76204977679</v>
      </c>
      <c r="L21" s="112">
        <f t="shared" si="6"/>
        <v>-326576.55370450526</v>
      </c>
      <c r="M21" s="112">
        <f t="shared" si="6"/>
        <v>-347801.72803068772</v>
      </c>
      <c r="N21" s="112">
        <f t="shared" si="6"/>
        <v>-284409.86288733449</v>
      </c>
      <c r="O21" s="112">
        <f t="shared" si="6"/>
        <v>-394484.27042969596</v>
      </c>
      <c r="P21" s="112">
        <f t="shared" si="6"/>
        <v>-420127.29261869134</v>
      </c>
      <c r="Q21" s="112">
        <f t="shared" si="6"/>
        <v>-447438.72145177412</v>
      </c>
      <c r="R21" s="112">
        <f t="shared" si="6"/>
        <v>-476527.20537952357</v>
      </c>
      <c r="S21" s="112">
        <f t="shared" si="6"/>
        <v>-507508.44607503212</v>
      </c>
      <c r="T21" s="112">
        <f t="shared" si="6"/>
        <v>-540505.6987361745</v>
      </c>
      <c r="U21" s="112">
        <f t="shared" si="6"/>
        <v>-575650.24834086257</v>
      </c>
      <c r="V21" s="112">
        <f t="shared" si="6"/>
        <v>-613081.93274880527</v>
      </c>
      <c r="W21" s="112">
        <f t="shared" si="6"/>
        <v>-652949.72190957179</v>
      </c>
      <c r="X21" s="112">
        <f t="shared" si="6"/>
        <v>-695412.25936846482</v>
      </c>
      <c r="Y21" s="112">
        <f t="shared" si="6"/>
        <v>-740638.53429318813</v>
      </c>
      <c r="Z21" s="112">
        <f t="shared" si="6"/>
        <v>-788808.5709602522</v>
      </c>
      <c r="AA21" s="112">
        <f t="shared" si="6"/>
        <v>-840114.12575192063</v>
      </c>
      <c r="AB21" s="112">
        <f t="shared" si="6"/>
        <v>-894759.40793621156</v>
      </c>
    </row>
    <row r="22" spans="1:28">
      <c r="A22" s="10" t="s">
        <v>454</v>
      </c>
      <c r="B22" s="10"/>
      <c r="C22" s="112">
        <f>-$E4*(C$17-C19)</f>
        <v>0</v>
      </c>
      <c r="D22" s="112">
        <f>IF(D$17+D19&gt;0,-$E4*(D$17+D19),0)</f>
        <v>0</v>
      </c>
      <c r="E22" s="112">
        <f t="shared" ref="E22:AB22" si="7">IF(E$17+E19&gt;0,-$E4*(E$17+E19),0)</f>
        <v>-968123.69392239337</v>
      </c>
      <c r="F22" s="112">
        <f t="shared" si="7"/>
        <v>-1031019.0003215907</v>
      </c>
      <c r="G22" s="112">
        <f t="shared" si="7"/>
        <v>-1098004.3949567582</v>
      </c>
      <c r="H22" s="112">
        <f t="shared" si="7"/>
        <v>-1169346.0901673953</v>
      </c>
      <c r="I22" s="112">
        <f t="shared" si="7"/>
        <v>-1245327.6808281031</v>
      </c>
      <c r="J22" s="112">
        <f t="shared" si="7"/>
        <v>-1326251.1402133084</v>
      </c>
      <c r="K22" s="112">
        <f t="shared" si="7"/>
        <v>-1412438.1767141232</v>
      </c>
      <c r="L22" s="112">
        <f t="shared" si="7"/>
        <v>-1504231.3988813574</v>
      </c>
      <c r="M22" s="112">
        <f t="shared" si="7"/>
        <v>-1601995.8382019554</v>
      </c>
      <c r="N22" s="112">
        <f t="shared" si="7"/>
        <v>-1310009.0654204497</v>
      </c>
      <c r="O22" s="112">
        <f t="shared" si="7"/>
        <v>-1817018.4577367811</v>
      </c>
      <c r="P22" s="112">
        <f t="shared" si="7"/>
        <v>-1935131.7720618509</v>
      </c>
      <c r="Q22" s="112">
        <f t="shared" si="7"/>
        <v>-2060929.8685051415</v>
      </c>
      <c r="R22" s="112">
        <f t="shared" si="7"/>
        <v>-2194913.1884147748</v>
      </c>
      <c r="S22" s="112">
        <f t="shared" si="7"/>
        <v>-2337614.6607092386</v>
      </c>
      <c r="T22" s="112">
        <f t="shared" si="7"/>
        <v>-2489602.0062999553</v>
      </c>
      <c r="U22" s="112">
        <f t="shared" si="7"/>
        <v>-2651479.9317518519</v>
      </c>
      <c r="V22" s="112">
        <f t="shared" si="7"/>
        <v>-2823892.5387217696</v>
      </c>
      <c r="W22" s="112">
        <f t="shared" si="7"/>
        <v>-3007525.9918259061</v>
      </c>
      <c r="X22" s="112">
        <f t="shared" si="7"/>
        <v>-3203111.0128486864</v>
      </c>
      <c r="Y22" s="112">
        <f t="shared" si="7"/>
        <v>-3411425.9761383208</v>
      </c>
      <c r="Z22" s="112">
        <f t="shared" si="7"/>
        <v>-3633300.08442298</v>
      </c>
      <c r="AA22" s="112">
        <f t="shared" si="7"/>
        <v>-3869616.5792209674</v>
      </c>
      <c r="AB22" s="112">
        <f t="shared" si="7"/>
        <v>-4121316.0607970953</v>
      </c>
    </row>
    <row r="23" spans="1:28">
      <c r="A23" s="10" t="s">
        <v>457</v>
      </c>
      <c r="B23" s="10"/>
      <c r="C23" s="112">
        <f>SUM(C20:C22)</f>
        <v>0</v>
      </c>
      <c r="D23" s="112">
        <f t="shared" ref="D23:AB23" si="8">SUM(D20:D22)</f>
        <v>-641846.11730816704</v>
      </c>
      <c r="E23" s="112">
        <f t="shared" si="8"/>
        <v>-1862035.8210884877</v>
      </c>
      <c r="F23" s="112">
        <f t="shared" si="8"/>
        <v>-1983203.3501198753</v>
      </c>
      <c r="G23" s="112">
        <f t="shared" si="8"/>
        <v>-2112263.9215973835</v>
      </c>
      <c r="H23" s="112">
        <f t="shared" si="8"/>
        <v>-2249732.1932462277</v>
      </c>
      <c r="I23" s="112">
        <f t="shared" si="8"/>
        <v>-2396156.4883084744</v>
      </c>
      <c r="J23" s="112">
        <f t="shared" si="8"/>
        <v>-2552120.7370592342</v>
      </c>
      <c r="K23" s="112">
        <f t="shared" si="8"/>
        <v>-2718247.1000600839</v>
      </c>
      <c r="L23" s="112">
        <f t="shared" si="8"/>
        <v>-2895198.2375191487</v>
      </c>
      <c r="M23" s="112">
        <f t="shared" si="8"/>
        <v>-3083680.2552767387</v>
      </c>
      <c r="N23" s="112">
        <f t="shared" si="8"/>
        <v>-2802336.1738784527</v>
      </c>
      <c r="O23" s="112">
        <f t="shared" si="8"/>
        <v>-3498293.8888065945</v>
      </c>
      <c r="P23" s="112">
        <f t="shared" si="8"/>
        <v>-3726080.1453801696</v>
      </c>
      <c r="Q23" s="112">
        <f t="shared" si="8"/>
        <v>-3968712.974846622</v>
      </c>
      <c r="R23" s="112">
        <f t="shared" si="8"/>
        <v>-4227160.9870980289</v>
      </c>
      <c r="S23" s="112">
        <f t="shared" si="8"/>
        <v>-4502455.8017605152</v>
      </c>
      <c r="T23" s="112">
        <f t="shared" si="8"/>
        <v>-4795696.5139979124</v>
      </c>
      <c r="U23" s="112">
        <f t="shared" si="8"/>
        <v>-5108053.962671455</v>
      </c>
      <c r="V23" s="112">
        <f t="shared" si="8"/>
        <v>-5440775.4138121121</v>
      </c>
      <c r="W23" s="112">
        <f t="shared" si="8"/>
        <v>-5795189.7401190177</v>
      </c>
      <c r="X23" s="112">
        <f t="shared" si="8"/>
        <v>-6172712.2871135548</v>
      </c>
      <c r="Y23" s="112">
        <f t="shared" si="8"/>
        <v>-6574850.8796327598</v>
      </c>
      <c r="Z23" s="112">
        <f t="shared" si="8"/>
        <v>-7003211.9931331351</v>
      </c>
      <c r="AA23" s="112">
        <f t="shared" si="8"/>
        <v>-7459507.0048502926</v>
      </c>
      <c r="AB23" s="112">
        <f t="shared" si="8"/>
        <v>-7945558.6663872534</v>
      </c>
    </row>
    <row r="24" spans="1:28">
      <c r="A24" s="109" t="s">
        <v>458</v>
      </c>
      <c r="B24" s="109"/>
      <c r="C24" s="110">
        <f>C15+C23</f>
        <v>0</v>
      </c>
      <c r="D24" s="110">
        <f t="shared" ref="D24:AB24" si="9">D15+D23</f>
        <v>-2853870.1692574192</v>
      </c>
      <c r="E24" s="110">
        <f t="shared" si="9"/>
        <v>-5345202.7550321687</v>
      </c>
      <c r="F24" s="110">
        <f t="shared" si="9"/>
        <v>-5695958.6318171574</v>
      </c>
      <c r="G24" s="110">
        <f t="shared" si="9"/>
        <v>-6069738.6759526897</v>
      </c>
      <c r="H24" s="110">
        <f t="shared" si="9"/>
        <v>-6468056.7379368665</v>
      </c>
      <c r="I24" s="110">
        <f t="shared" si="9"/>
        <v>-6892523.5996683259</v>
      </c>
      <c r="J24" s="110">
        <f t="shared" si="9"/>
        <v>-7344854.3595278263</v>
      </c>
      <c r="K24" s="110">
        <f t="shared" si="9"/>
        <v>-7826882.694162434</v>
      </c>
      <c r="L24" s="110">
        <f t="shared" si="9"/>
        <v>-8340555.1230557477</v>
      </c>
      <c r="M24" s="110">
        <f t="shared" si="9"/>
        <v>-8887951.7231213413</v>
      </c>
      <c r="N24" s="110">
        <f t="shared" si="9"/>
        <v>-8507066.6493898667</v>
      </c>
      <c r="O24" s="110">
        <f t="shared" si="9"/>
        <v>-10092917.597877398</v>
      </c>
      <c r="P24" s="110">
        <f t="shared" si="9"/>
        <v>-10755364.09262687</v>
      </c>
      <c r="Q24" s="110">
        <f t="shared" si="9"/>
        <v>-11461306.280371314</v>
      </c>
      <c r="R24" s="110">
        <f t="shared" si="9"/>
        <v>-12213595.743947932</v>
      </c>
      <c r="S24" s="110">
        <f t="shared" si="9"/>
        <v>-13015280.064056201</v>
      </c>
      <c r="T24" s="110">
        <f t="shared" si="9"/>
        <v>-13869605.539006086</v>
      </c>
      <c r="U24" s="110">
        <f t="shared" si="9"/>
        <v>-14780025.808155578</v>
      </c>
      <c r="V24" s="110">
        <f t="shared" si="9"/>
        <v>-15750225.334040694</v>
      </c>
      <c r="W24" s="110">
        <f t="shared" si="9"/>
        <v>-16784134.930661604</v>
      </c>
      <c r="X24" s="110">
        <f t="shared" si="9"/>
        <v>-17885930.127459567</v>
      </c>
      <c r="Y24" s="110">
        <f t="shared" si="9"/>
        <v>-19060079.276372202</v>
      </c>
      <c r="Z24" s="110">
        <f t="shared" si="9"/>
        <v>-20311327.128619522</v>
      </c>
      <c r="AA24" s="110">
        <f t="shared" si="9"/>
        <v>-21644743.399571434</v>
      </c>
      <c r="AB24" s="110">
        <f t="shared" si="9"/>
        <v>-23065722.666112635</v>
      </c>
    </row>
    <row r="27" spans="1:28">
      <c r="A27" s="109" t="s">
        <v>446</v>
      </c>
      <c r="B27" s="107"/>
      <c r="C27" s="108" t="s">
        <v>181</v>
      </c>
      <c r="D27" s="108" t="s">
        <v>182</v>
      </c>
      <c r="E27" s="108" t="s">
        <v>183</v>
      </c>
      <c r="F27" s="108" t="s">
        <v>184</v>
      </c>
      <c r="G27" s="108" t="s">
        <v>185</v>
      </c>
      <c r="H27" s="108" t="s">
        <v>186</v>
      </c>
      <c r="I27" s="108" t="s">
        <v>187</v>
      </c>
      <c r="J27" s="108" t="s">
        <v>188</v>
      </c>
      <c r="K27" s="108" t="s">
        <v>189</v>
      </c>
      <c r="L27" s="108" t="s">
        <v>190</v>
      </c>
      <c r="M27" s="108" t="s">
        <v>191</v>
      </c>
      <c r="N27" s="108" t="s">
        <v>202</v>
      </c>
      <c r="O27" s="108" t="s">
        <v>203</v>
      </c>
      <c r="P27" s="108" t="s">
        <v>204</v>
      </c>
      <c r="Q27" s="108" t="s">
        <v>205</v>
      </c>
      <c r="R27" s="108" t="s">
        <v>206</v>
      </c>
      <c r="S27" s="108" t="s">
        <v>207</v>
      </c>
      <c r="T27" s="108" t="s">
        <v>208</v>
      </c>
      <c r="U27" s="108" t="s">
        <v>209</v>
      </c>
      <c r="V27" s="108" t="s">
        <v>210</v>
      </c>
      <c r="W27" s="108" t="s">
        <v>211</v>
      </c>
      <c r="X27" s="108" t="s">
        <v>212</v>
      </c>
      <c r="Y27" s="108" t="s">
        <v>213</v>
      </c>
      <c r="Z27" s="108" t="s">
        <v>214</v>
      </c>
      <c r="AA27" s="108" t="s">
        <v>215</v>
      </c>
      <c r="AB27" s="108" t="s">
        <v>216</v>
      </c>
    </row>
    <row r="28" spans="1:28">
      <c r="A28" s="10" t="str">
        <f>DRE!A15</f>
        <v>Prejuízo acumulado utilizável no exercício</v>
      </c>
      <c r="B28" s="112">
        <f>DRE!B15</f>
        <v>0</v>
      </c>
      <c r="C28" s="112">
        <f>DRE!C15</f>
        <v>0</v>
      </c>
      <c r="D28" s="112">
        <f>DRE!D15</f>
        <v>0</v>
      </c>
      <c r="E28" s="112">
        <f>DRE!E15</f>
        <v>0</v>
      </c>
      <c r="F28" s="112">
        <f>DRE!F15</f>
        <v>0</v>
      </c>
      <c r="G28" s="112">
        <f>DRE!G15</f>
        <v>0</v>
      </c>
      <c r="H28" s="112">
        <f>DRE!H15</f>
        <v>0</v>
      </c>
      <c r="I28" s="112">
        <f>DRE!I15</f>
        <v>0</v>
      </c>
      <c r="J28" s="112">
        <f>DRE!J15</f>
        <v>0</v>
      </c>
      <c r="K28" s="112">
        <f>DRE!K15</f>
        <v>0</v>
      </c>
      <c r="L28" s="112">
        <f>DRE!L15</f>
        <v>0</v>
      </c>
      <c r="M28" s="112">
        <f>DRE!M15</f>
        <v>0</v>
      </c>
      <c r="N28" s="112">
        <f>DRE!N15</f>
        <v>0</v>
      </c>
      <c r="O28" s="112">
        <f>DRE!O15</f>
        <v>0</v>
      </c>
      <c r="P28" s="112">
        <f>DRE!P15</f>
        <v>0</v>
      </c>
      <c r="Q28" s="112">
        <f>DRE!Q15</f>
        <v>0</v>
      </c>
      <c r="R28" s="112">
        <f>DRE!R15</f>
        <v>0</v>
      </c>
      <c r="S28" s="112">
        <f>DRE!S15</f>
        <v>0</v>
      </c>
      <c r="T28" s="112">
        <f>DRE!T15</f>
        <v>0</v>
      </c>
      <c r="U28" s="112">
        <f>DRE!U15</f>
        <v>0</v>
      </c>
      <c r="V28" s="112">
        <f>DRE!V15</f>
        <v>0</v>
      </c>
      <c r="W28" s="112">
        <f>DRE!W15</f>
        <v>0</v>
      </c>
      <c r="X28" s="112">
        <f>DRE!X15</f>
        <v>0</v>
      </c>
      <c r="Y28" s="112">
        <f>DRE!Y15</f>
        <v>0</v>
      </c>
      <c r="Z28" s="112">
        <f>DRE!Z15</f>
        <v>0</v>
      </c>
      <c r="AA28" s="112">
        <f>DRE!AA15</f>
        <v>0</v>
      </c>
      <c r="AB28" s="112">
        <f>DRE!AB15</f>
        <v>0</v>
      </c>
    </row>
    <row r="29" spans="1:28">
      <c r="A29" s="10" t="str">
        <f>DRE!A16</f>
        <v>Lucro (Prejuízo) acumulado</v>
      </c>
      <c r="B29" s="112">
        <f>DRE!B16</f>
        <v>0</v>
      </c>
      <c r="C29" s="112">
        <f>DRE!C16</f>
        <v>0</v>
      </c>
      <c r="D29" s="112">
        <f>DRE!D16</f>
        <v>0</v>
      </c>
      <c r="E29" s="112">
        <f>DRE!E16</f>
        <v>0</v>
      </c>
      <c r="F29" s="112">
        <f>DRE!F16</f>
        <v>0</v>
      </c>
      <c r="G29" s="112">
        <f>DRE!G16</f>
        <v>0</v>
      </c>
      <c r="H29" s="112">
        <f>DRE!H16</f>
        <v>0</v>
      </c>
      <c r="I29" s="112">
        <f>DRE!I16</f>
        <v>0</v>
      </c>
      <c r="J29" s="112">
        <f>DRE!J16</f>
        <v>0</v>
      </c>
      <c r="K29" s="112">
        <f>DRE!K16</f>
        <v>0</v>
      </c>
      <c r="L29" s="112">
        <f>DRE!L16</f>
        <v>0</v>
      </c>
      <c r="M29" s="112">
        <f>DRE!M16</f>
        <v>0</v>
      </c>
      <c r="N29" s="112">
        <f>DRE!N16</f>
        <v>0</v>
      </c>
      <c r="O29" s="112">
        <f>DRE!O16</f>
        <v>0</v>
      </c>
      <c r="P29" s="112">
        <f>DRE!P16</f>
        <v>0</v>
      </c>
      <c r="Q29" s="112">
        <f>DRE!Q16</f>
        <v>0</v>
      </c>
      <c r="R29" s="112">
        <f>DRE!R16</f>
        <v>0</v>
      </c>
      <c r="S29" s="112">
        <f>DRE!S16</f>
        <v>0</v>
      </c>
      <c r="T29" s="112">
        <f>DRE!T16</f>
        <v>0</v>
      </c>
      <c r="U29" s="112">
        <f>DRE!U16</f>
        <v>0</v>
      </c>
      <c r="V29" s="112">
        <f>DRE!V16</f>
        <v>0</v>
      </c>
      <c r="W29" s="112">
        <f>DRE!W16</f>
        <v>0</v>
      </c>
      <c r="X29" s="112">
        <f>DRE!X16</f>
        <v>0</v>
      </c>
      <c r="Y29" s="112">
        <f>DRE!Y16</f>
        <v>0</v>
      </c>
      <c r="Z29" s="112">
        <f>DRE!Z16</f>
        <v>0</v>
      </c>
      <c r="AA29" s="112">
        <f>DRE!AA16</f>
        <v>0</v>
      </c>
      <c r="AB29" s="112">
        <f>DRE!AB16</f>
        <v>0</v>
      </c>
    </row>
    <row r="30" spans="1:28">
      <c r="A30" s="109" t="str">
        <f>DRE!A19</f>
        <v>EBT</v>
      </c>
      <c r="B30" s="109"/>
      <c r="C30" s="110">
        <f>DRE!C19</f>
        <v>0</v>
      </c>
      <c r="D30" s="110">
        <f>DRE!D19</f>
        <v>6267697.1388550326</v>
      </c>
      <c r="E30" s="110">
        <f>DRE!E19</f>
        <v>4617273.2532847207</v>
      </c>
      <c r="F30" s="110">
        <f>DRE!F19</f>
        <v>5166409.7198763695</v>
      </c>
      <c r="G30" s="110">
        <f>DRE!G19</f>
        <v>5755587.2600238305</v>
      </c>
      <c r="H30" s="110">
        <f>DRE!H19</f>
        <v>6387666.1390858572</v>
      </c>
      <c r="I30" s="110">
        <f>DRE!I19</f>
        <v>7065701.1039395127</v>
      </c>
      <c r="J30" s="110">
        <f>DRE!J19</f>
        <v>7792956.5672655422</v>
      </c>
      <c r="K30" s="110">
        <f>DRE!K19</f>
        <v>8572940.9807711672</v>
      </c>
      <c r="L30" s="110">
        <f>DRE!L19</f>
        <v>9409388.5000133868</v>
      </c>
      <c r="M30" s="110">
        <f>DRE!M19</f>
        <v>10306309.480906701</v>
      </c>
      <c r="N30" s="110">
        <f>DRE!N19</f>
        <v>13743149.80888851</v>
      </c>
      <c r="O30" s="110">
        <f>DRE!O19</f>
        <v>13809949.249978524</v>
      </c>
      <c r="P30" s="110">
        <f>DRE!P19</f>
        <v>14915209.545955312</v>
      </c>
      <c r="Q30" s="110">
        <f>DRE!Q19</f>
        <v>16099962.907346699</v>
      </c>
      <c r="R30" s="110">
        <f>DRE!R19</f>
        <v>17369807.58420996</v>
      </c>
      <c r="S30" s="110">
        <f>DRE!S19</f>
        <v>18730752.655168306</v>
      </c>
      <c r="T30" s="110">
        <f>DRE!T19</f>
        <v>20189221.617071565</v>
      </c>
      <c r="U30" s="110">
        <f>DRE!U19</f>
        <v>21752069.140407916</v>
      </c>
      <c r="V30" s="110">
        <f>DRE!V19</f>
        <v>23426635.784784857</v>
      </c>
      <c r="W30" s="110">
        <f>DRE!W19</f>
        <v>25220782.902366001</v>
      </c>
      <c r="X30" s="110">
        <f>DRE!X19</f>
        <v>27674945.420830991</v>
      </c>
      <c r="Y30" s="110">
        <f>DRE!Y19</f>
        <v>29733993.664015215</v>
      </c>
      <c r="Z30" s="110">
        <f>DRE!Z19</f>
        <v>31939569.830662873</v>
      </c>
      <c r="AA30" s="110">
        <f>DRE!AA19</f>
        <v>34301948.589835078</v>
      </c>
      <c r="AB30" s="110">
        <f>DRE!AB19</f>
        <v>36832092.815483317</v>
      </c>
    </row>
    <row r="31" spans="1:28">
      <c r="A31" s="111" t="s">
        <v>199</v>
      </c>
      <c r="B31" s="171">
        <v>0.34</v>
      </c>
      <c r="C31" s="112">
        <f>-(C30+C28)*$B$31</f>
        <v>0</v>
      </c>
      <c r="D31" s="112">
        <f>IF(D30+D28&lt;0,0,-(D30+D28)*$B$31)</f>
        <v>-2131017.027210711</v>
      </c>
      <c r="E31" s="112">
        <f>IF(E30+E28&lt;0,0,-(E30+E28)*$B$31)</f>
        <v>-1569872.906116805</v>
      </c>
      <c r="F31" s="112">
        <f>IF(F30+F28&lt;0,0,-(F30+F28)*$B$31)</f>
        <v>-1756579.3047579657</v>
      </c>
      <c r="G31" s="112">
        <f t="shared" ref="G31:AB31" si="10">IF(G30+G28&lt;0,0,-(G30+G28)*$B$31)</f>
        <v>-1956899.6684081026</v>
      </c>
      <c r="H31" s="112">
        <f t="shared" si="10"/>
        <v>-2171806.4872891917</v>
      </c>
      <c r="I31" s="112">
        <f t="shared" si="10"/>
        <v>-2402338.3753394345</v>
      </c>
      <c r="J31" s="112">
        <f t="shared" si="10"/>
        <v>-2649605.2328702845</v>
      </c>
      <c r="K31" s="112">
        <f t="shared" si="10"/>
        <v>-2914799.933462197</v>
      </c>
      <c r="L31" s="112">
        <f t="shared" si="10"/>
        <v>-3199192.0900045517</v>
      </c>
      <c r="M31" s="112">
        <f t="shared" si="10"/>
        <v>-3504145.2235082784</v>
      </c>
      <c r="N31" s="112">
        <f t="shared" si="10"/>
        <v>-4672670.9350220934</v>
      </c>
      <c r="O31" s="112">
        <f t="shared" si="10"/>
        <v>-4695382.7449926985</v>
      </c>
      <c r="P31" s="112">
        <f t="shared" si="10"/>
        <v>-5071171.2456248067</v>
      </c>
      <c r="Q31" s="112">
        <f t="shared" si="10"/>
        <v>-5473987.3884978779</v>
      </c>
      <c r="R31" s="112">
        <f t="shared" si="10"/>
        <v>-5905734.5786313871</v>
      </c>
      <c r="S31" s="112">
        <f t="shared" si="10"/>
        <v>-6368455.9027572246</v>
      </c>
      <c r="T31" s="112">
        <f t="shared" si="10"/>
        <v>-6864335.3498043325</v>
      </c>
      <c r="U31" s="112">
        <f t="shared" si="10"/>
        <v>-7395703.5077386918</v>
      </c>
      <c r="V31" s="112">
        <f t="shared" si="10"/>
        <v>-7965056.1668268517</v>
      </c>
      <c r="W31" s="112">
        <f t="shared" si="10"/>
        <v>-8575066.1868044417</v>
      </c>
      <c r="X31" s="112">
        <f t="shared" si="10"/>
        <v>-9409481.4430825375</v>
      </c>
      <c r="Y31" s="112">
        <f t="shared" si="10"/>
        <v>-10109557.845765173</v>
      </c>
      <c r="Z31" s="112">
        <f t="shared" si="10"/>
        <v>-10859453.742425377</v>
      </c>
      <c r="AA31" s="112">
        <f t="shared" si="10"/>
        <v>-11662662.520543927</v>
      </c>
      <c r="AB31" s="112">
        <f t="shared" si="10"/>
        <v>-12522911.557264328</v>
      </c>
    </row>
    <row r="47" spans="1:1">
      <c r="A47" s="99" t="s">
        <v>420</v>
      </c>
    </row>
    <row r="48" spans="1:1">
      <c r="A48" s="168"/>
    </row>
    <row r="49" spans="1:1">
      <c r="A49" s="168" t="s">
        <v>412</v>
      </c>
    </row>
    <row r="50" spans="1:1">
      <c r="A50" s="168" t="s">
        <v>413</v>
      </c>
    </row>
    <row r="51" spans="1:1">
      <c r="A51" s="168" t="s">
        <v>414</v>
      </c>
    </row>
    <row r="52" spans="1:1">
      <c r="A52" s="168" t="s">
        <v>415</v>
      </c>
    </row>
    <row r="53" spans="1:1">
      <c r="A53" s="168" t="s">
        <v>416</v>
      </c>
    </row>
    <row r="54" spans="1:1">
      <c r="A54" s="168" t="s">
        <v>417</v>
      </c>
    </row>
    <row r="55" spans="1:1">
      <c r="A55" s="168" t="s">
        <v>418</v>
      </c>
    </row>
    <row r="56" spans="1:1">
      <c r="A56" s="168" t="s">
        <v>419</v>
      </c>
    </row>
  </sheetData>
  <mergeCells count="3">
    <mergeCell ref="A1:B1"/>
    <mergeCell ref="D1:E1"/>
    <mergeCell ref="G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7"/>
  <sheetViews>
    <sheetView workbookViewId="0">
      <selection activeCell="B3" sqref="B3"/>
    </sheetView>
  </sheetViews>
  <sheetFormatPr baseColWidth="10" defaultColWidth="8.83203125" defaultRowHeight="15"/>
  <cols>
    <col min="1" max="1" width="48.33203125" bestFit="1" customWidth="1"/>
    <col min="2" max="2" width="16.83203125" bestFit="1" customWidth="1"/>
    <col min="3" max="3" width="14.5" bestFit="1" customWidth="1"/>
    <col min="4" max="4" width="19.1640625" bestFit="1" customWidth="1"/>
    <col min="5" max="7" width="15.83203125" bestFit="1" customWidth="1"/>
    <col min="8" max="29" width="14.33203125" bestFit="1" customWidth="1"/>
  </cols>
  <sheetData>
    <row r="1" spans="1:29">
      <c r="A1" t="s">
        <v>37</v>
      </c>
      <c r="B1" t="s">
        <v>423</v>
      </c>
      <c r="C1" t="s">
        <v>427</v>
      </c>
      <c r="D1" t="s">
        <v>426</v>
      </c>
      <c r="E1" s="108" t="s">
        <v>182</v>
      </c>
      <c r="F1" s="108" t="s">
        <v>183</v>
      </c>
      <c r="G1" s="108" t="s">
        <v>184</v>
      </c>
      <c r="H1" s="108" t="s">
        <v>185</v>
      </c>
      <c r="I1" s="108" t="s">
        <v>186</v>
      </c>
      <c r="J1" s="108" t="s">
        <v>187</v>
      </c>
      <c r="K1" s="108" t="s">
        <v>188</v>
      </c>
      <c r="L1" s="108" t="s">
        <v>189</v>
      </c>
      <c r="M1" s="108" t="s">
        <v>190</v>
      </c>
      <c r="N1" s="108" t="s">
        <v>191</v>
      </c>
      <c r="O1" s="108" t="s">
        <v>202</v>
      </c>
      <c r="P1" s="108" t="s">
        <v>203</v>
      </c>
      <c r="Q1" s="108" t="s">
        <v>204</v>
      </c>
      <c r="R1" s="108" t="s">
        <v>205</v>
      </c>
      <c r="S1" s="108" t="s">
        <v>206</v>
      </c>
      <c r="T1" s="108" t="s">
        <v>207</v>
      </c>
      <c r="U1" s="108" t="s">
        <v>208</v>
      </c>
      <c r="V1" s="108" t="s">
        <v>209</v>
      </c>
      <c r="W1" s="108" t="s">
        <v>210</v>
      </c>
      <c r="X1" s="108" t="s">
        <v>211</v>
      </c>
      <c r="Y1" s="108" t="s">
        <v>212</v>
      </c>
      <c r="Z1" s="108" t="s">
        <v>213</v>
      </c>
      <c r="AA1" s="108" t="s">
        <v>214</v>
      </c>
      <c r="AB1" s="108" t="s">
        <v>215</v>
      </c>
      <c r="AC1" s="108" t="s">
        <v>216</v>
      </c>
    </row>
    <row r="2" spans="1:29">
      <c r="A2" t="s">
        <v>428</v>
      </c>
      <c r="B2" s="169">
        <f>'Invest. em Pre e Implantação'!F7+'Invest. em Pre e Implantação'!F17+'Invest. em Pre e Implantação'!F25+'Invest. em Pre e Implantação'!F43+'Invest. em Pre e Implantação'!F51+'Invest. em Pre e Implantação'!F58+'Invest. em Pre e Implantação'!F126+'Invest. em Pre e Implantação'!F130</f>
        <v>13466436.344790399</v>
      </c>
      <c r="C2">
        <v>25</v>
      </c>
      <c r="D2" s="166">
        <v>0.04</v>
      </c>
      <c r="E2" s="169">
        <f>$D2*$B2</f>
        <v>538657.45379161602</v>
      </c>
      <c r="F2" s="169">
        <f t="shared" ref="F2:AC2" si="0">$D$2*$B$2</f>
        <v>538657.45379161602</v>
      </c>
      <c r="G2" s="169">
        <f t="shared" si="0"/>
        <v>538657.45379161602</v>
      </c>
      <c r="H2" s="169">
        <f t="shared" si="0"/>
        <v>538657.45379161602</v>
      </c>
      <c r="I2" s="169">
        <f t="shared" si="0"/>
        <v>538657.45379161602</v>
      </c>
      <c r="J2" s="169">
        <f t="shared" si="0"/>
        <v>538657.45379161602</v>
      </c>
      <c r="K2" s="169">
        <f t="shared" si="0"/>
        <v>538657.45379161602</v>
      </c>
      <c r="L2" s="169">
        <f t="shared" si="0"/>
        <v>538657.45379161602</v>
      </c>
      <c r="M2" s="169">
        <f t="shared" si="0"/>
        <v>538657.45379161602</v>
      </c>
      <c r="N2" s="169">
        <f t="shared" si="0"/>
        <v>538657.45379161602</v>
      </c>
      <c r="O2" s="169">
        <f t="shared" si="0"/>
        <v>538657.45379161602</v>
      </c>
      <c r="P2" s="169">
        <f t="shared" si="0"/>
        <v>538657.45379161602</v>
      </c>
      <c r="Q2" s="169">
        <f t="shared" si="0"/>
        <v>538657.45379161602</v>
      </c>
      <c r="R2" s="169">
        <f t="shared" si="0"/>
        <v>538657.45379161602</v>
      </c>
      <c r="S2" s="169">
        <f t="shared" si="0"/>
        <v>538657.45379161602</v>
      </c>
      <c r="T2" s="169">
        <f t="shared" si="0"/>
        <v>538657.45379161602</v>
      </c>
      <c r="U2" s="169">
        <f t="shared" si="0"/>
        <v>538657.45379161602</v>
      </c>
      <c r="V2" s="169">
        <f t="shared" si="0"/>
        <v>538657.45379161602</v>
      </c>
      <c r="W2" s="169">
        <f t="shared" si="0"/>
        <v>538657.45379161602</v>
      </c>
      <c r="X2" s="169">
        <f t="shared" si="0"/>
        <v>538657.45379161602</v>
      </c>
      <c r="Y2" s="169">
        <f t="shared" si="0"/>
        <v>538657.45379161602</v>
      </c>
      <c r="Z2" s="169">
        <f t="shared" si="0"/>
        <v>538657.45379161602</v>
      </c>
      <c r="AA2" s="169">
        <f t="shared" si="0"/>
        <v>538657.45379161602</v>
      </c>
      <c r="AB2" s="169">
        <f t="shared" si="0"/>
        <v>538657.45379161602</v>
      </c>
      <c r="AC2" s="169">
        <f t="shared" si="0"/>
        <v>538657.45379161602</v>
      </c>
    </row>
    <row r="3" spans="1:29">
      <c r="A3" t="s">
        <v>429</v>
      </c>
      <c r="B3" s="169">
        <f>'Invest. em Pre e Implantação'!F80+'Invest. em Pre e Implantação'!F110+'Invest. em Pre e Implantação'!F118</f>
        <v>21410001.648000002</v>
      </c>
      <c r="C3">
        <v>10</v>
      </c>
      <c r="D3" s="166">
        <v>0.1</v>
      </c>
      <c r="E3" s="169">
        <f t="shared" ref="E3:X5" si="1">$D3*$B3</f>
        <v>2141000.1648000004</v>
      </c>
      <c r="F3" s="169">
        <f t="shared" si="1"/>
        <v>2141000.1648000004</v>
      </c>
      <c r="G3" s="169">
        <f t="shared" si="1"/>
        <v>2141000.1648000004</v>
      </c>
      <c r="H3" s="169">
        <f t="shared" si="1"/>
        <v>2141000.1648000004</v>
      </c>
      <c r="I3" s="169">
        <f t="shared" si="1"/>
        <v>2141000.1648000004</v>
      </c>
      <c r="J3" s="169">
        <f t="shared" si="1"/>
        <v>2141000.1648000004</v>
      </c>
      <c r="K3" s="169">
        <f t="shared" si="1"/>
        <v>2141000.1648000004</v>
      </c>
      <c r="L3" s="169">
        <f t="shared" si="1"/>
        <v>2141000.1648000004</v>
      </c>
      <c r="M3" s="169">
        <f t="shared" si="1"/>
        <v>2141000.1648000004</v>
      </c>
      <c r="N3" s="169">
        <f t="shared" si="1"/>
        <v>2141000.1648000004</v>
      </c>
    </row>
    <row r="4" spans="1:29">
      <c r="A4" t="s">
        <v>430</v>
      </c>
      <c r="B4" s="169">
        <f>Reinvestimento!I8</f>
        <v>2449637.1415057559</v>
      </c>
      <c r="C4">
        <v>25</v>
      </c>
      <c r="D4" s="166">
        <v>0.04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>
        <f t="shared" si="1"/>
        <v>97985.485660230246</v>
      </c>
      <c r="P4" s="169">
        <f t="shared" si="1"/>
        <v>97985.485660230246</v>
      </c>
      <c r="Q4" s="169">
        <f t="shared" si="1"/>
        <v>97985.485660230246</v>
      </c>
      <c r="R4" s="169">
        <f t="shared" si="1"/>
        <v>97985.485660230246</v>
      </c>
      <c r="S4" s="169">
        <f t="shared" si="1"/>
        <v>97985.485660230246</v>
      </c>
      <c r="T4" s="169">
        <f t="shared" si="1"/>
        <v>97985.485660230246</v>
      </c>
      <c r="U4" s="169">
        <f t="shared" ref="U4:AC4" si="2">$D4*$B4</f>
        <v>97985.485660230246</v>
      </c>
      <c r="V4" s="169">
        <f t="shared" si="2"/>
        <v>97985.485660230246</v>
      </c>
      <c r="W4" s="169">
        <f t="shared" si="2"/>
        <v>97985.485660230246</v>
      </c>
      <c r="X4" s="169">
        <f t="shared" si="2"/>
        <v>97985.485660230246</v>
      </c>
      <c r="Y4" s="169">
        <f t="shared" si="2"/>
        <v>97985.485660230246</v>
      </c>
      <c r="Z4" s="169">
        <f t="shared" si="2"/>
        <v>97985.485660230246</v>
      </c>
      <c r="AA4" s="169">
        <f t="shared" si="2"/>
        <v>97985.485660230246</v>
      </c>
      <c r="AB4" s="169">
        <f t="shared" si="2"/>
        <v>97985.485660230246</v>
      </c>
      <c r="AC4" s="169">
        <f t="shared" si="2"/>
        <v>97985.485660230246</v>
      </c>
    </row>
    <row r="5" spans="1:29">
      <c r="A5" t="s">
        <v>433</v>
      </c>
      <c r="B5" s="169">
        <f>Reinvestimento!I18+Reinvestimento!I29+Reinvestimento!I36</f>
        <v>5320639.6470711371</v>
      </c>
      <c r="C5">
        <v>10</v>
      </c>
      <c r="D5" s="166">
        <v>0.1</v>
      </c>
      <c r="O5" s="169">
        <f t="shared" si="1"/>
        <v>532063.96470711369</v>
      </c>
      <c r="P5" s="169">
        <f t="shared" si="1"/>
        <v>532063.96470711369</v>
      </c>
      <c r="Q5" s="169">
        <f t="shared" si="1"/>
        <v>532063.96470711369</v>
      </c>
      <c r="R5" s="169">
        <f t="shared" si="1"/>
        <v>532063.96470711369</v>
      </c>
      <c r="S5" s="169">
        <f t="shared" si="1"/>
        <v>532063.96470711369</v>
      </c>
      <c r="T5" s="169">
        <f t="shared" si="1"/>
        <v>532063.96470711369</v>
      </c>
      <c r="U5" s="169">
        <f t="shared" si="1"/>
        <v>532063.96470711369</v>
      </c>
      <c r="V5" s="169">
        <f t="shared" si="1"/>
        <v>532063.96470711369</v>
      </c>
      <c r="W5" s="169">
        <f t="shared" si="1"/>
        <v>532063.96470711369</v>
      </c>
      <c r="X5" s="169">
        <f t="shared" si="1"/>
        <v>532063.96470711369</v>
      </c>
    </row>
    <row r="7" spans="1:29">
      <c r="A7" s="99" t="s">
        <v>28</v>
      </c>
      <c r="B7" s="169"/>
      <c r="E7" s="169">
        <f>SUM(E2:E5)</f>
        <v>2679657.6185916164</v>
      </c>
      <c r="F7" s="169">
        <f t="shared" ref="F7:AC7" si="3">SUM(F2:F5)</f>
        <v>2679657.6185916164</v>
      </c>
      <c r="G7" s="169">
        <f t="shared" si="3"/>
        <v>2679657.6185916164</v>
      </c>
      <c r="H7" s="169">
        <f t="shared" si="3"/>
        <v>2679657.6185916164</v>
      </c>
      <c r="I7" s="169">
        <f t="shared" si="3"/>
        <v>2679657.6185916164</v>
      </c>
      <c r="J7" s="169">
        <f t="shared" si="3"/>
        <v>2679657.6185916164</v>
      </c>
      <c r="K7" s="169">
        <f t="shared" si="3"/>
        <v>2679657.6185916164</v>
      </c>
      <c r="L7" s="169">
        <f t="shared" si="3"/>
        <v>2679657.6185916164</v>
      </c>
      <c r="M7" s="169">
        <f t="shared" si="3"/>
        <v>2679657.6185916164</v>
      </c>
      <c r="N7" s="169">
        <f t="shared" si="3"/>
        <v>2679657.6185916164</v>
      </c>
      <c r="O7" s="169">
        <f t="shared" si="3"/>
        <v>1168706.9041589601</v>
      </c>
      <c r="P7" s="169">
        <f t="shared" si="3"/>
        <v>1168706.9041589601</v>
      </c>
      <c r="Q7" s="169">
        <f t="shared" si="3"/>
        <v>1168706.9041589601</v>
      </c>
      <c r="R7" s="169">
        <f t="shared" si="3"/>
        <v>1168706.9041589601</v>
      </c>
      <c r="S7" s="169">
        <f t="shared" si="3"/>
        <v>1168706.9041589601</v>
      </c>
      <c r="T7" s="169">
        <f t="shared" si="3"/>
        <v>1168706.9041589601</v>
      </c>
      <c r="U7" s="169">
        <f t="shared" si="3"/>
        <v>1168706.9041589601</v>
      </c>
      <c r="V7" s="169">
        <f t="shared" si="3"/>
        <v>1168706.9041589601</v>
      </c>
      <c r="W7" s="169">
        <f t="shared" si="3"/>
        <v>1168706.9041589601</v>
      </c>
      <c r="X7" s="169">
        <f t="shared" si="3"/>
        <v>1168706.9041589601</v>
      </c>
      <c r="Y7" s="169">
        <f t="shared" si="3"/>
        <v>636642.93945184629</v>
      </c>
      <c r="Z7" s="169">
        <f t="shared" si="3"/>
        <v>636642.93945184629</v>
      </c>
      <c r="AA7" s="169">
        <f t="shared" si="3"/>
        <v>636642.93945184629</v>
      </c>
      <c r="AB7" s="169">
        <f t="shared" si="3"/>
        <v>636642.93945184629</v>
      </c>
      <c r="AC7" s="169">
        <f t="shared" si="3"/>
        <v>636642.93945184629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E301"/>
  <sheetViews>
    <sheetView zoomScaleNormal="100" workbookViewId="0">
      <selection activeCell="J7" sqref="J7"/>
    </sheetView>
  </sheetViews>
  <sheetFormatPr baseColWidth="10" defaultColWidth="9.1640625" defaultRowHeight="13"/>
  <cols>
    <col min="1" max="1" width="14.5" style="174" customWidth="1"/>
    <col min="2" max="2" width="15.5" style="174" customWidth="1"/>
    <col min="3" max="3" width="14.1640625" style="174" customWidth="1"/>
    <col min="4" max="4" width="15.83203125" style="174" customWidth="1"/>
    <col min="5" max="5" width="15" style="174" customWidth="1"/>
    <col min="6" max="6" width="14.6640625" style="174" customWidth="1"/>
    <col min="7" max="7" width="13.5" style="174" customWidth="1"/>
    <col min="8" max="8" width="15.33203125" style="174" customWidth="1"/>
    <col min="9" max="9" width="15" style="174" customWidth="1"/>
    <col min="10" max="11" width="13.83203125" style="174" bestFit="1" customWidth="1"/>
    <col min="12" max="12" width="17.33203125" style="174" bestFit="1" customWidth="1"/>
    <col min="13" max="13" width="9.1640625" style="174" customWidth="1"/>
    <col min="14" max="14" width="11.6640625" style="174" customWidth="1"/>
    <col min="15" max="15" width="13.83203125" style="174" bestFit="1" customWidth="1"/>
    <col min="16" max="16" width="13.83203125" style="175" bestFit="1" customWidth="1"/>
    <col min="17" max="17" width="11.6640625" style="174" bestFit="1" customWidth="1"/>
    <col min="18" max="18" width="13.83203125" style="174" bestFit="1" customWidth="1"/>
    <col min="19" max="19" width="15.33203125" style="174" bestFit="1" customWidth="1"/>
    <col min="20" max="20" width="11.6640625" style="174" bestFit="1" customWidth="1"/>
    <col min="21" max="22" width="9.1640625" style="174"/>
    <col min="23" max="23" width="11.6640625" style="174" bestFit="1" customWidth="1"/>
    <col min="24" max="25" width="9.1640625" style="174"/>
    <col min="26" max="26" width="11.5" style="174" bestFit="1" customWidth="1"/>
    <col min="27" max="27" width="12.33203125" style="174" bestFit="1" customWidth="1"/>
    <col min="28" max="29" width="11.5" style="174" bestFit="1" customWidth="1"/>
    <col min="30" max="16384" width="9.1640625" style="174"/>
  </cols>
  <sheetData>
    <row r="1" spans="1:17" ht="23.5" customHeight="1" thickBot="1">
      <c r="A1" s="505">
        <v>7</v>
      </c>
      <c r="B1" s="505"/>
      <c r="C1" s="505"/>
      <c r="D1" s="505"/>
      <c r="E1" s="505"/>
      <c r="F1" s="505"/>
    </row>
    <row r="2" spans="1:17" ht="27" customHeight="1">
      <c r="A2" s="507" t="s">
        <v>478</v>
      </c>
      <c r="B2" s="508"/>
      <c r="C2" s="508"/>
      <c r="D2" s="207" t="s">
        <v>477</v>
      </c>
      <c r="E2" s="207" t="s">
        <v>476</v>
      </c>
      <c r="F2" s="207" t="s">
        <v>475</v>
      </c>
      <c r="G2" s="206" t="s">
        <v>474</v>
      </c>
    </row>
    <row r="3" spans="1:17" ht="26.25" customHeight="1">
      <c r="A3" s="509" t="s">
        <v>473</v>
      </c>
      <c r="B3" s="205" t="s">
        <v>470</v>
      </c>
      <c r="C3" s="204">
        <v>0</v>
      </c>
      <c r="D3" s="185">
        <v>24</v>
      </c>
      <c r="E3" s="196">
        <f>C7*C3</f>
        <v>0</v>
      </c>
      <c r="F3" s="185">
        <v>120</v>
      </c>
      <c r="G3" s="197">
        <v>5.8999999999999997E-2</v>
      </c>
    </row>
    <row r="4" spans="1:17" ht="21.5" customHeight="1" thickBot="1">
      <c r="A4" s="510"/>
      <c r="B4" s="203" t="s">
        <v>469</v>
      </c>
      <c r="C4" s="202">
        <f>(100%-C3)</f>
        <v>1</v>
      </c>
      <c r="D4" s="201">
        <v>12</v>
      </c>
      <c r="E4" s="196">
        <f>C7*C4</f>
        <v>38046948.551433809</v>
      </c>
      <c r="F4" s="185">
        <v>120</v>
      </c>
      <c r="G4" s="197">
        <v>1E-8</v>
      </c>
      <c r="P4" s="175">
        <v>400000</v>
      </c>
    </row>
    <row r="5" spans="1:17" ht="21.5" customHeight="1">
      <c r="A5" s="200"/>
      <c r="B5" s="200"/>
      <c r="C5" s="199"/>
      <c r="D5" s="198"/>
      <c r="E5" s="198"/>
      <c r="F5" s="198"/>
      <c r="G5" s="197">
        <f>G4/12</f>
        <v>8.3333333333333335E-10</v>
      </c>
      <c r="O5" s="176">
        <f t="shared" ref="O5:O36" si="0">P4*1.2/100+P4</f>
        <v>404800</v>
      </c>
      <c r="P5" s="175">
        <f t="shared" ref="P5:P36" si="1">O5</f>
        <v>404800</v>
      </c>
      <c r="Q5" s="174">
        <v>1</v>
      </c>
    </row>
    <row r="6" spans="1:17" ht="21.5" customHeight="1">
      <c r="A6" s="506" t="s">
        <v>472</v>
      </c>
      <c r="B6" s="506"/>
      <c r="C6" s="506"/>
      <c r="D6" s="506"/>
      <c r="E6" s="506"/>
      <c r="F6" s="506"/>
      <c r="O6" s="176">
        <f t="shared" si="0"/>
        <v>409657.59999999998</v>
      </c>
      <c r="P6" s="175">
        <f t="shared" si="1"/>
        <v>409657.59999999998</v>
      </c>
      <c r="Q6" s="174">
        <v>2</v>
      </c>
    </row>
    <row r="7" spans="1:17" ht="21.5" customHeight="1">
      <c r="A7" s="501" t="s">
        <v>528</v>
      </c>
      <c r="B7" s="501"/>
      <c r="C7" s="196">
        <f>'Invest. em Pre e Implantação'!F136-'Capital de Giro'!D46</f>
        <v>38046948.551433809</v>
      </c>
      <c r="D7" s="195"/>
      <c r="E7" s="194"/>
      <c r="F7" s="193"/>
      <c r="G7" s="189"/>
      <c r="O7" s="176">
        <f t="shared" si="0"/>
        <v>414573.49119999999</v>
      </c>
      <c r="P7" s="175">
        <f t="shared" si="1"/>
        <v>414573.49119999999</v>
      </c>
      <c r="Q7" s="174">
        <v>3</v>
      </c>
    </row>
    <row r="8" spans="1:17" ht="18.75" customHeight="1">
      <c r="A8" s="192"/>
      <c r="B8" s="191"/>
      <c r="C8" s="190"/>
      <c r="G8" s="189"/>
      <c r="H8" s="189"/>
      <c r="O8" s="176">
        <f t="shared" si="0"/>
        <v>419548.37309439998</v>
      </c>
      <c r="P8" s="175">
        <f t="shared" si="1"/>
        <v>419548.37309439998</v>
      </c>
      <c r="Q8" s="174">
        <v>4</v>
      </c>
    </row>
    <row r="9" spans="1:17">
      <c r="A9" s="501" t="s">
        <v>471</v>
      </c>
      <c r="B9" s="502" t="s">
        <v>470</v>
      </c>
      <c r="C9" s="503"/>
      <c r="D9" s="503"/>
      <c r="E9" s="504"/>
      <c r="F9" s="500" t="s">
        <v>469</v>
      </c>
      <c r="G9" s="500"/>
      <c r="H9" s="500"/>
      <c r="I9" s="500"/>
      <c r="J9" s="188"/>
      <c r="O9" s="176">
        <f t="shared" si="0"/>
        <v>424582.95357153279</v>
      </c>
      <c r="P9" s="175">
        <f t="shared" si="1"/>
        <v>424582.95357153279</v>
      </c>
      <c r="Q9" s="174">
        <v>5</v>
      </c>
    </row>
    <row r="10" spans="1:17" ht="24" customHeight="1">
      <c r="A10" s="501"/>
      <c r="B10" s="187" t="s">
        <v>468</v>
      </c>
      <c r="C10" s="186" t="s">
        <v>467</v>
      </c>
      <c r="D10" s="185" t="s">
        <v>466</v>
      </c>
      <c r="E10" s="185" t="s">
        <v>465</v>
      </c>
      <c r="F10" s="187" t="s">
        <v>468</v>
      </c>
      <c r="G10" s="186" t="s">
        <v>467</v>
      </c>
      <c r="H10" s="185" t="s">
        <v>466</v>
      </c>
      <c r="I10" s="185" t="s">
        <v>465</v>
      </c>
      <c r="J10" s="184" t="s">
        <v>464</v>
      </c>
      <c r="K10" s="184" t="s">
        <v>463</v>
      </c>
      <c r="L10" s="184" t="s">
        <v>462</v>
      </c>
      <c r="O10" s="176">
        <f t="shared" si="0"/>
        <v>429677.94901439117</v>
      </c>
      <c r="P10" s="175">
        <f t="shared" si="1"/>
        <v>429677.94901439117</v>
      </c>
      <c r="Q10" s="174">
        <v>6</v>
      </c>
    </row>
    <row r="11" spans="1:17">
      <c r="A11" s="180">
        <v>0</v>
      </c>
      <c r="B11" s="178">
        <v>0</v>
      </c>
      <c r="C11" s="178">
        <v>0</v>
      </c>
      <c r="D11" s="178">
        <f t="shared" ref="D11:D42" si="2">B11+C11</f>
        <v>0</v>
      </c>
      <c r="E11" s="183">
        <f>E3</f>
        <v>0</v>
      </c>
      <c r="F11" s="178">
        <v>0</v>
      </c>
      <c r="G11" s="178">
        <v>0</v>
      </c>
      <c r="H11" s="178">
        <v>0</v>
      </c>
      <c r="I11" s="182">
        <f>E4</f>
        <v>38046948.551433809</v>
      </c>
      <c r="J11" s="178">
        <f t="shared" ref="J11:J42" si="3">D11+H11</f>
        <v>0</v>
      </c>
      <c r="K11" s="178">
        <f t="shared" ref="K11:K42" si="4">B11+F11</f>
        <v>0</v>
      </c>
      <c r="L11" s="178">
        <f t="shared" ref="L11:L42" si="5">C11+G11</f>
        <v>0</v>
      </c>
      <c r="O11" s="176">
        <f t="shared" si="0"/>
        <v>434834.08440256387</v>
      </c>
      <c r="P11" s="175">
        <f t="shared" si="1"/>
        <v>434834.08440256387</v>
      </c>
      <c r="Q11" s="174">
        <v>7</v>
      </c>
    </row>
    <row r="12" spans="1:17">
      <c r="A12" s="180">
        <v>1</v>
      </c>
      <c r="B12" s="178">
        <v>0</v>
      </c>
      <c r="C12" s="178">
        <v>0</v>
      </c>
      <c r="D12" s="178">
        <f t="shared" si="2"/>
        <v>0</v>
      </c>
      <c r="E12" s="178">
        <f t="shared" ref="E12:E43" si="6">E11-C12</f>
        <v>0</v>
      </c>
      <c r="F12" s="178">
        <v>0</v>
      </c>
      <c r="G12" s="178"/>
      <c r="H12" s="178">
        <f t="shared" ref="H12:H43" si="7">F12+G12</f>
        <v>0</v>
      </c>
      <c r="I12" s="178">
        <f t="shared" ref="I12:I22" si="8">I11-G12</f>
        <v>38046948.551433809</v>
      </c>
      <c r="J12" s="178">
        <f t="shared" si="3"/>
        <v>0</v>
      </c>
      <c r="K12" s="178">
        <f t="shared" si="4"/>
        <v>0</v>
      </c>
      <c r="L12" s="178">
        <f t="shared" si="5"/>
        <v>0</v>
      </c>
      <c r="O12" s="176">
        <f t="shared" si="0"/>
        <v>440052.09341539466</v>
      </c>
      <c r="P12" s="175">
        <f t="shared" si="1"/>
        <v>440052.09341539466</v>
      </c>
      <c r="Q12" s="174">
        <v>8</v>
      </c>
    </row>
    <row r="13" spans="1:17">
      <c r="A13" s="180">
        <v>2</v>
      </c>
      <c r="B13" s="178">
        <v>0</v>
      </c>
      <c r="C13" s="178">
        <v>0</v>
      </c>
      <c r="D13" s="178">
        <f t="shared" si="2"/>
        <v>0</v>
      </c>
      <c r="E13" s="178">
        <f t="shared" si="6"/>
        <v>0</v>
      </c>
      <c r="F13" s="178">
        <v>0</v>
      </c>
      <c r="G13" s="178"/>
      <c r="H13" s="178">
        <f t="shared" si="7"/>
        <v>0</v>
      </c>
      <c r="I13" s="178">
        <f t="shared" si="8"/>
        <v>38046948.551433809</v>
      </c>
      <c r="J13" s="178">
        <f t="shared" si="3"/>
        <v>0</v>
      </c>
      <c r="K13" s="178">
        <f t="shared" si="4"/>
        <v>0</v>
      </c>
      <c r="L13" s="178">
        <f t="shared" si="5"/>
        <v>0</v>
      </c>
      <c r="O13" s="176">
        <f t="shared" si="0"/>
        <v>445332.7185363794</v>
      </c>
      <c r="P13" s="175">
        <f t="shared" si="1"/>
        <v>445332.7185363794</v>
      </c>
      <c r="Q13" s="174">
        <v>9</v>
      </c>
    </row>
    <row r="14" spans="1:17">
      <c r="A14" s="180">
        <v>3</v>
      </c>
      <c r="B14" s="178">
        <f>$E$11*$G$3*(3/12)</f>
        <v>0</v>
      </c>
      <c r="C14" s="178">
        <v>0</v>
      </c>
      <c r="D14" s="178">
        <f t="shared" si="2"/>
        <v>0</v>
      </c>
      <c r="E14" s="178">
        <f t="shared" si="6"/>
        <v>0</v>
      </c>
      <c r="F14" s="178">
        <v>0</v>
      </c>
      <c r="G14" s="178"/>
      <c r="H14" s="178">
        <f t="shared" si="7"/>
        <v>0</v>
      </c>
      <c r="I14" s="178">
        <f t="shared" si="8"/>
        <v>38046948.551433809</v>
      </c>
      <c r="J14" s="178">
        <f t="shared" si="3"/>
        <v>0</v>
      </c>
      <c r="K14" s="178">
        <f t="shared" si="4"/>
        <v>0</v>
      </c>
      <c r="L14" s="178">
        <f t="shared" si="5"/>
        <v>0</v>
      </c>
      <c r="O14" s="176">
        <f t="shared" si="0"/>
        <v>450676.71115881595</v>
      </c>
      <c r="P14" s="175">
        <f t="shared" si="1"/>
        <v>450676.71115881595</v>
      </c>
      <c r="Q14" s="174">
        <v>10</v>
      </c>
    </row>
    <row r="15" spans="1:17">
      <c r="A15" s="180">
        <v>4</v>
      </c>
      <c r="B15" s="178">
        <v>0</v>
      </c>
      <c r="C15" s="178">
        <v>0</v>
      </c>
      <c r="D15" s="178">
        <f t="shared" si="2"/>
        <v>0</v>
      </c>
      <c r="E15" s="178">
        <f t="shared" si="6"/>
        <v>0</v>
      </c>
      <c r="F15" s="178">
        <v>0</v>
      </c>
      <c r="G15" s="178"/>
      <c r="H15" s="178">
        <f t="shared" si="7"/>
        <v>0</v>
      </c>
      <c r="I15" s="178">
        <f t="shared" si="8"/>
        <v>38046948.551433809</v>
      </c>
      <c r="J15" s="178">
        <f t="shared" si="3"/>
        <v>0</v>
      </c>
      <c r="K15" s="178">
        <f t="shared" si="4"/>
        <v>0</v>
      </c>
      <c r="L15" s="178">
        <f t="shared" si="5"/>
        <v>0</v>
      </c>
      <c r="O15" s="176">
        <f t="shared" si="0"/>
        <v>456084.83169272175</v>
      </c>
      <c r="P15" s="175">
        <f t="shared" si="1"/>
        <v>456084.83169272175</v>
      </c>
      <c r="Q15" s="174">
        <v>11</v>
      </c>
    </row>
    <row r="16" spans="1:17">
      <c r="A16" s="180">
        <v>5</v>
      </c>
      <c r="B16" s="178">
        <v>0</v>
      </c>
      <c r="C16" s="178">
        <v>0</v>
      </c>
      <c r="D16" s="178">
        <f t="shared" si="2"/>
        <v>0</v>
      </c>
      <c r="E16" s="178">
        <f t="shared" si="6"/>
        <v>0</v>
      </c>
      <c r="F16" s="178">
        <v>0</v>
      </c>
      <c r="G16" s="178"/>
      <c r="H16" s="178">
        <f t="shared" si="7"/>
        <v>0</v>
      </c>
      <c r="I16" s="178">
        <f t="shared" si="8"/>
        <v>38046948.551433809</v>
      </c>
      <c r="J16" s="178">
        <f t="shared" si="3"/>
        <v>0</v>
      </c>
      <c r="K16" s="178">
        <f t="shared" si="4"/>
        <v>0</v>
      </c>
      <c r="L16" s="178">
        <f t="shared" si="5"/>
        <v>0</v>
      </c>
      <c r="O16" s="176">
        <f t="shared" si="0"/>
        <v>461557.84967303439</v>
      </c>
      <c r="P16" s="175">
        <f t="shared" si="1"/>
        <v>461557.84967303439</v>
      </c>
      <c r="Q16" s="174">
        <v>12</v>
      </c>
    </row>
    <row r="17" spans="1:19">
      <c r="A17" s="180">
        <v>6</v>
      </c>
      <c r="B17" s="178">
        <f>$E$11*$G$3*(3/12)</f>
        <v>0</v>
      </c>
      <c r="C17" s="178">
        <v>0</v>
      </c>
      <c r="D17" s="178">
        <f t="shared" si="2"/>
        <v>0</v>
      </c>
      <c r="E17" s="178">
        <f t="shared" si="6"/>
        <v>0</v>
      </c>
      <c r="F17" s="178">
        <v>0</v>
      </c>
      <c r="G17" s="178"/>
      <c r="H17" s="178">
        <f t="shared" si="7"/>
        <v>0</v>
      </c>
      <c r="I17" s="178">
        <f t="shared" si="8"/>
        <v>38046948.551433809</v>
      </c>
      <c r="J17" s="178">
        <f t="shared" si="3"/>
        <v>0</v>
      </c>
      <c r="K17" s="178">
        <f t="shared" si="4"/>
        <v>0</v>
      </c>
      <c r="L17" s="178">
        <f t="shared" si="5"/>
        <v>0</v>
      </c>
      <c r="O17" s="176">
        <f t="shared" si="0"/>
        <v>467096.54386911081</v>
      </c>
      <c r="P17" s="175">
        <f t="shared" si="1"/>
        <v>467096.54386911081</v>
      </c>
      <c r="Q17" s="174">
        <v>13</v>
      </c>
    </row>
    <row r="18" spans="1:19">
      <c r="A18" s="180">
        <v>7</v>
      </c>
      <c r="B18" s="178">
        <v>0</v>
      </c>
      <c r="C18" s="178">
        <v>0</v>
      </c>
      <c r="D18" s="178">
        <f t="shared" si="2"/>
        <v>0</v>
      </c>
      <c r="E18" s="178">
        <f t="shared" si="6"/>
        <v>0</v>
      </c>
      <c r="F18" s="178">
        <v>0</v>
      </c>
      <c r="G18" s="178"/>
      <c r="H18" s="178">
        <f t="shared" si="7"/>
        <v>0</v>
      </c>
      <c r="I18" s="178">
        <f t="shared" si="8"/>
        <v>38046948.551433809</v>
      </c>
      <c r="J18" s="178">
        <f t="shared" si="3"/>
        <v>0</v>
      </c>
      <c r="K18" s="178">
        <f t="shared" si="4"/>
        <v>0</v>
      </c>
      <c r="L18" s="178">
        <f t="shared" si="5"/>
        <v>0</v>
      </c>
      <c r="O18" s="176">
        <f t="shared" si="0"/>
        <v>472701.70239554014</v>
      </c>
      <c r="P18" s="175">
        <f t="shared" si="1"/>
        <v>472701.70239554014</v>
      </c>
      <c r="Q18" s="174">
        <v>14</v>
      </c>
    </row>
    <row r="19" spans="1:19">
      <c r="A19" s="180">
        <v>8</v>
      </c>
      <c r="B19" s="178">
        <v>0</v>
      </c>
      <c r="C19" s="178">
        <v>0</v>
      </c>
      <c r="D19" s="178">
        <f t="shared" si="2"/>
        <v>0</v>
      </c>
      <c r="E19" s="178">
        <f t="shared" si="6"/>
        <v>0</v>
      </c>
      <c r="F19" s="178">
        <v>0</v>
      </c>
      <c r="G19" s="178"/>
      <c r="H19" s="178">
        <f t="shared" si="7"/>
        <v>0</v>
      </c>
      <c r="I19" s="178">
        <f t="shared" si="8"/>
        <v>38046948.551433809</v>
      </c>
      <c r="J19" s="178">
        <f t="shared" si="3"/>
        <v>0</v>
      </c>
      <c r="K19" s="178">
        <f t="shared" si="4"/>
        <v>0</v>
      </c>
      <c r="L19" s="178">
        <f t="shared" si="5"/>
        <v>0</v>
      </c>
      <c r="O19" s="176">
        <f t="shared" si="0"/>
        <v>478374.12282428663</v>
      </c>
      <c r="P19" s="175">
        <f t="shared" si="1"/>
        <v>478374.12282428663</v>
      </c>
      <c r="Q19" s="174">
        <v>15</v>
      </c>
    </row>
    <row r="20" spans="1:19">
      <c r="A20" s="180">
        <v>9</v>
      </c>
      <c r="B20" s="178">
        <f>$E$11*$G$3*(3/12)</f>
        <v>0</v>
      </c>
      <c r="C20" s="178">
        <v>0</v>
      </c>
      <c r="D20" s="178">
        <f t="shared" si="2"/>
        <v>0</v>
      </c>
      <c r="E20" s="178">
        <f t="shared" si="6"/>
        <v>0</v>
      </c>
      <c r="F20" s="178">
        <v>0</v>
      </c>
      <c r="G20" s="178"/>
      <c r="H20" s="178">
        <f t="shared" si="7"/>
        <v>0</v>
      </c>
      <c r="I20" s="178">
        <f t="shared" si="8"/>
        <v>38046948.551433809</v>
      </c>
      <c r="J20" s="178">
        <f t="shared" si="3"/>
        <v>0</v>
      </c>
      <c r="K20" s="178">
        <f t="shared" si="4"/>
        <v>0</v>
      </c>
      <c r="L20" s="178">
        <f t="shared" si="5"/>
        <v>0</v>
      </c>
      <c r="O20" s="176">
        <f t="shared" si="0"/>
        <v>484114.61229817808</v>
      </c>
      <c r="P20" s="175">
        <f t="shared" si="1"/>
        <v>484114.61229817808</v>
      </c>
      <c r="Q20" s="174">
        <v>16</v>
      </c>
    </row>
    <row r="21" spans="1:19">
      <c r="A21" s="180">
        <v>10</v>
      </c>
      <c r="B21" s="178">
        <v>0</v>
      </c>
      <c r="C21" s="178">
        <v>0</v>
      </c>
      <c r="D21" s="178">
        <f t="shared" si="2"/>
        <v>0</v>
      </c>
      <c r="E21" s="178">
        <f t="shared" si="6"/>
        <v>0</v>
      </c>
      <c r="F21" s="178">
        <v>0</v>
      </c>
      <c r="G21" s="178"/>
      <c r="H21" s="178">
        <f t="shared" si="7"/>
        <v>0</v>
      </c>
      <c r="I21" s="178">
        <f t="shared" si="8"/>
        <v>38046948.551433809</v>
      </c>
      <c r="J21" s="178">
        <f t="shared" si="3"/>
        <v>0</v>
      </c>
      <c r="K21" s="178">
        <f t="shared" si="4"/>
        <v>0</v>
      </c>
      <c r="L21" s="178">
        <f t="shared" si="5"/>
        <v>0</v>
      </c>
      <c r="O21" s="176">
        <f t="shared" si="0"/>
        <v>489923.98764575622</v>
      </c>
      <c r="P21" s="175">
        <f t="shared" si="1"/>
        <v>489923.98764575622</v>
      </c>
      <c r="Q21" s="174">
        <v>17</v>
      </c>
    </row>
    <row r="22" spans="1:19">
      <c r="A22" s="180">
        <v>11</v>
      </c>
      <c r="B22" s="178">
        <v>0</v>
      </c>
      <c r="C22" s="178">
        <v>0</v>
      </c>
      <c r="D22" s="178">
        <f t="shared" si="2"/>
        <v>0</v>
      </c>
      <c r="E22" s="178">
        <f t="shared" si="6"/>
        <v>0</v>
      </c>
      <c r="F22" s="178">
        <v>0</v>
      </c>
      <c r="G22" s="178"/>
      <c r="H22" s="178">
        <f t="shared" si="7"/>
        <v>0</v>
      </c>
      <c r="I22" s="178">
        <f t="shared" si="8"/>
        <v>38046948.551433809</v>
      </c>
      <c r="J22" s="178">
        <f t="shared" si="3"/>
        <v>0</v>
      </c>
      <c r="K22" s="178">
        <f t="shared" si="4"/>
        <v>0</v>
      </c>
      <c r="L22" s="178">
        <f t="shared" si="5"/>
        <v>0</v>
      </c>
      <c r="O22" s="176">
        <f t="shared" si="0"/>
        <v>495803.07549750531</v>
      </c>
      <c r="P22" s="175">
        <f t="shared" si="1"/>
        <v>495803.07549750531</v>
      </c>
      <c r="Q22" s="174">
        <v>18</v>
      </c>
    </row>
    <row r="23" spans="1:19">
      <c r="A23" s="180">
        <v>12</v>
      </c>
      <c r="B23" s="178">
        <f>$E$11*$G$3*(3/12)</f>
        <v>0</v>
      </c>
      <c r="C23" s="178">
        <v>0</v>
      </c>
      <c r="D23" s="178">
        <f t="shared" si="2"/>
        <v>0</v>
      </c>
      <c r="E23" s="178">
        <f t="shared" si="6"/>
        <v>0</v>
      </c>
      <c r="F23" s="178">
        <v>0</v>
      </c>
      <c r="G23" s="178"/>
      <c r="H23" s="178">
        <f t="shared" si="7"/>
        <v>0</v>
      </c>
      <c r="I23" s="181">
        <f>(I22-G23)*(1+G4)</f>
        <v>38046948.931903295</v>
      </c>
      <c r="J23" s="178">
        <f t="shared" si="3"/>
        <v>0</v>
      </c>
      <c r="K23" s="178">
        <f t="shared" si="4"/>
        <v>0</v>
      </c>
      <c r="L23" s="178">
        <f t="shared" si="5"/>
        <v>0</v>
      </c>
      <c r="O23" s="176">
        <f t="shared" si="0"/>
        <v>501752.71240347537</v>
      </c>
      <c r="P23" s="175">
        <f t="shared" si="1"/>
        <v>501752.71240347537</v>
      </c>
      <c r="Q23" s="174">
        <v>19</v>
      </c>
    </row>
    <row r="24" spans="1:19">
      <c r="A24" s="180">
        <v>13</v>
      </c>
      <c r="B24" s="178">
        <v>0</v>
      </c>
      <c r="C24" s="178">
        <v>0</v>
      </c>
      <c r="D24" s="178">
        <f t="shared" si="2"/>
        <v>0</v>
      </c>
      <c r="E24" s="178">
        <f t="shared" si="6"/>
        <v>0</v>
      </c>
      <c r="F24" s="178"/>
      <c r="G24" s="178"/>
      <c r="H24" s="178">
        <f t="shared" si="7"/>
        <v>0</v>
      </c>
      <c r="I24" s="178">
        <f t="shared" ref="I24:I55" si="9">I23-G24</f>
        <v>38046948.931903295</v>
      </c>
      <c r="J24" s="178">
        <f t="shared" si="3"/>
        <v>0</v>
      </c>
      <c r="K24" s="178">
        <f t="shared" si="4"/>
        <v>0</v>
      </c>
      <c r="L24" s="178">
        <f t="shared" si="5"/>
        <v>0</v>
      </c>
      <c r="O24" s="176">
        <f t="shared" si="0"/>
        <v>507773.74495231709</v>
      </c>
      <c r="P24" s="175">
        <f t="shared" si="1"/>
        <v>507773.74495231709</v>
      </c>
      <c r="Q24" s="174">
        <v>20</v>
      </c>
    </row>
    <row r="25" spans="1:19">
      <c r="A25" s="180">
        <v>14</v>
      </c>
      <c r="B25" s="178">
        <v>0</v>
      </c>
      <c r="C25" s="178">
        <v>0</v>
      </c>
      <c r="D25" s="178">
        <f t="shared" si="2"/>
        <v>0</v>
      </c>
      <c r="E25" s="178">
        <f t="shared" si="6"/>
        <v>0</v>
      </c>
      <c r="F25" s="178"/>
      <c r="G25" s="178"/>
      <c r="H25" s="178">
        <f t="shared" si="7"/>
        <v>0</v>
      </c>
      <c r="I25" s="178">
        <f t="shared" si="9"/>
        <v>38046948.931903295</v>
      </c>
      <c r="J25" s="178">
        <f t="shared" si="3"/>
        <v>0</v>
      </c>
      <c r="K25" s="178">
        <f t="shared" si="4"/>
        <v>0</v>
      </c>
      <c r="L25" s="178">
        <f t="shared" si="5"/>
        <v>0</v>
      </c>
      <c r="O25" s="176">
        <f t="shared" si="0"/>
        <v>513867.0298917449</v>
      </c>
      <c r="P25" s="175">
        <f t="shared" si="1"/>
        <v>513867.0298917449</v>
      </c>
      <c r="Q25" s="174">
        <v>21</v>
      </c>
    </row>
    <row r="26" spans="1:19">
      <c r="A26" s="180">
        <v>15</v>
      </c>
      <c r="B26" s="178">
        <f>$E$11*$G$3*(3/12)</f>
        <v>0</v>
      </c>
      <c r="C26" s="178">
        <v>0</v>
      </c>
      <c r="D26" s="178">
        <f t="shared" si="2"/>
        <v>0</v>
      </c>
      <c r="E26" s="178">
        <f t="shared" si="6"/>
        <v>0</v>
      </c>
      <c r="F26" s="178"/>
      <c r="G26" s="178"/>
      <c r="H26" s="178">
        <f t="shared" si="7"/>
        <v>0</v>
      </c>
      <c r="I26" s="178">
        <f t="shared" si="9"/>
        <v>38046948.931903295</v>
      </c>
      <c r="J26" s="178">
        <f t="shared" si="3"/>
        <v>0</v>
      </c>
      <c r="K26" s="178">
        <f t="shared" si="4"/>
        <v>0</v>
      </c>
      <c r="L26" s="178">
        <f t="shared" si="5"/>
        <v>0</v>
      </c>
      <c r="O26" s="176">
        <f t="shared" si="0"/>
        <v>520033.43425044586</v>
      </c>
      <c r="P26" s="175">
        <f t="shared" si="1"/>
        <v>520033.43425044586</v>
      </c>
      <c r="Q26" s="174">
        <v>22</v>
      </c>
    </row>
    <row r="27" spans="1:19">
      <c r="A27" s="180">
        <v>16</v>
      </c>
      <c r="B27" s="178">
        <v>0</v>
      </c>
      <c r="C27" s="178">
        <v>0</v>
      </c>
      <c r="D27" s="178">
        <f t="shared" si="2"/>
        <v>0</v>
      </c>
      <c r="E27" s="178">
        <f t="shared" si="6"/>
        <v>0</v>
      </c>
      <c r="F27" s="178"/>
      <c r="G27" s="178"/>
      <c r="H27" s="178">
        <f t="shared" si="7"/>
        <v>0</v>
      </c>
      <c r="I27" s="178">
        <f t="shared" si="9"/>
        <v>38046948.931903295</v>
      </c>
      <c r="J27" s="178">
        <f t="shared" si="3"/>
        <v>0</v>
      </c>
      <c r="K27" s="178">
        <f t="shared" si="4"/>
        <v>0</v>
      </c>
      <c r="L27" s="178">
        <f t="shared" si="5"/>
        <v>0</v>
      </c>
      <c r="O27" s="176">
        <f t="shared" si="0"/>
        <v>526273.83546145121</v>
      </c>
      <c r="P27" s="175">
        <f t="shared" si="1"/>
        <v>526273.83546145121</v>
      </c>
      <c r="Q27" s="174">
        <v>23</v>
      </c>
    </row>
    <row r="28" spans="1:19">
      <c r="A28" s="180">
        <v>17</v>
      </c>
      <c r="B28" s="178">
        <v>0</v>
      </c>
      <c r="C28" s="178">
        <v>0</v>
      </c>
      <c r="D28" s="178">
        <f t="shared" si="2"/>
        <v>0</v>
      </c>
      <c r="E28" s="178">
        <f t="shared" si="6"/>
        <v>0</v>
      </c>
      <c r="F28" s="178"/>
      <c r="G28" s="178"/>
      <c r="H28" s="178">
        <f t="shared" si="7"/>
        <v>0</v>
      </c>
      <c r="I28" s="178">
        <f t="shared" si="9"/>
        <v>38046948.931903295</v>
      </c>
      <c r="J28" s="178">
        <f t="shared" si="3"/>
        <v>0</v>
      </c>
      <c r="K28" s="178">
        <f t="shared" si="4"/>
        <v>0</v>
      </c>
      <c r="L28" s="178">
        <f t="shared" si="5"/>
        <v>0</v>
      </c>
      <c r="O28" s="176">
        <f t="shared" si="0"/>
        <v>532589.12148698862</v>
      </c>
      <c r="P28" s="175">
        <f t="shared" si="1"/>
        <v>532589.12148698862</v>
      </c>
      <c r="Q28" s="174">
        <v>24</v>
      </c>
    </row>
    <row r="29" spans="1:19">
      <c r="A29" s="180">
        <v>18</v>
      </c>
      <c r="B29" s="178">
        <f>$E$11*$G$3*(3/12)</f>
        <v>0</v>
      </c>
      <c r="C29" s="178">
        <v>0</v>
      </c>
      <c r="D29" s="178">
        <f t="shared" si="2"/>
        <v>0</v>
      </c>
      <c r="E29" s="178">
        <f t="shared" si="6"/>
        <v>0</v>
      </c>
      <c r="F29" s="178"/>
      <c r="G29" s="178"/>
      <c r="H29" s="178">
        <f t="shared" si="7"/>
        <v>0</v>
      </c>
      <c r="I29" s="178">
        <f t="shared" si="9"/>
        <v>38046948.931903295</v>
      </c>
      <c r="J29" s="178">
        <f t="shared" si="3"/>
        <v>0</v>
      </c>
      <c r="K29" s="178">
        <f t="shared" si="4"/>
        <v>0</v>
      </c>
      <c r="L29" s="178">
        <f t="shared" si="5"/>
        <v>0</v>
      </c>
      <c r="O29" s="176">
        <f t="shared" si="0"/>
        <v>538980.19094483252</v>
      </c>
      <c r="P29" s="175">
        <f t="shared" si="1"/>
        <v>538980.19094483252</v>
      </c>
      <c r="Q29" s="174">
        <v>25</v>
      </c>
    </row>
    <row r="30" spans="1:19">
      <c r="A30" s="180">
        <v>19</v>
      </c>
      <c r="B30" s="178">
        <v>0</v>
      </c>
      <c r="C30" s="178">
        <v>0</v>
      </c>
      <c r="D30" s="178">
        <f t="shared" si="2"/>
        <v>0</v>
      </c>
      <c r="E30" s="178">
        <f t="shared" si="6"/>
        <v>0</v>
      </c>
      <c r="F30" s="178"/>
      <c r="G30" s="178"/>
      <c r="H30" s="178">
        <f t="shared" si="7"/>
        <v>0</v>
      </c>
      <c r="I30" s="178">
        <f t="shared" si="9"/>
        <v>38046948.931903295</v>
      </c>
      <c r="J30" s="178">
        <f t="shared" si="3"/>
        <v>0</v>
      </c>
      <c r="K30" s="178">
        <f t="shared" si="4"/>
        <v>0</v>
      </c>
      <c r="L30" s="178">
        <f t="shared" si="5"/>
        <v>0</v>
      </c>
      <c r="O30" s="176">
        <f t="shared" si="0"/>
        <v>545447.95323617046</v>
      </c>
      <c r="P30" s="175">
        <f t="shared" si="1"/>
        <v>545447.95323617046</v>
      </c>
      <c r="Q30" s="174">
        <v>26</v>
      </c>
    </row>
    <row r="31" spans="1:19">
      <c r="A31" s="180">
        <v>20</v>
      </c>
      <c r="B31" s="178">
        <v>0</v>
      </c>
      <c r="C31" s="178">
        <v>0</v>
      </c>
      <c r="D31" s="178">
        <f t="shared" si="2"/>
        <v>0</v>
      </c>
      <c r="E31" s="178">
        <f t="shared" si="6"/>
        <v>0</v>
      </c>
      <c r="F31" s="178"/>
      <c r="G31" s="178"/>
      <c r="H31" s="178">
        <f t="shared" si="7"/>
        <v>0</v>
      </c>
      <c r="I31" s="178">
        <f t="shared" si="9"/>
        <v>38046948.931903295</v>
      </c>
      <c r="J31" s="178">
        <f t="shared" si="3"/>
        <v>0</v>
      </c>
      <c r="K31" s="178">
        <f t="shared" si="4"/>
        <v>0</v>
      </c>
      <c r="L31" s="178">
        <f t="shared" si="5"/>
        <v>0</v>
      </c>
      <c r="O31" s="176">
        <f t="shared" si="0"/>
        <v>551993.32867500454</v>
      </c>
      <c r="P31" s="175">
        <f t="shared" si="1"/>
        <v>551993.32867500454</v>
      </c>
      <c r="Q31" s="174">
        <v>27</v>
      </c>
    </row>
    <row r="32" spans="1:19">
      <c r="A32" s="180">
        <v>21</v>
      </c>
      <c r="B32" s="178">
        <f>$E$11*$G$3*(3/12)</f>
        <v>0</v>
      </c>
      <c r="C32" s="178">
        <v>0</v>
      </c>
      <c r="D32" s="178">
        <f t="shared" si="2"/>
        <v>0</v>
      </c>
      <c r="E32" s="178">
        <f t="shared" si="6"/>
        <v>0</v>
      </c>
      <c r="F32" s="178"/>
      <c r="G32" s="178"/>
      <c r="H32" s="178">
        <f t="shared" si="7"/>
        <v>0</v>
      </c>
      <c r="I32" s="178">
        <f t="shared" si="9"/>
        <v>38046948.931903295</v>
      </c>
      <c r="J32" s="178">
        <f t="shared" si="3"/>
        <v>0</v>
      </c>
      <c r="K32" s="178">
        <f t="shared" si="4"/>
        <v>0</v>
      </c>
      <c r="L32" s="178">
        <f t="shared" si="5"/>
        <v>0</v>
      </c>
      <c r="O32" s="176">
        <f t="shared" si="0"/>
        <v>558617.24861910462</v>
      </c>
      <c r="P32" s="175">
        <f t="shared" si="1"/>
        <v>558617.24861910462</v>
      </c>
      <c r="Q32" s="174">
        <v>28</v>
      </c>
      <c r="S32" s="175"/>
    </row>
    <row r="33" spans="1:19">
      <c r="A33" s="180">
        <v>22</v>
      </c>
      <c r="B33" s="178">
        <v>0</v>
      </c>
      <c r="C33" s="178">
        <v>0</v>
      </c>
      <c r="D33" s="178">
        <f t="shared" si="2"/>
        <v>0</v>
      </c>
      <c r="E33" s="178">
        <f t="shared" si="6"/>
        <v>0</v>
      </c>
      <c r="F33" s="178"/>
      <c r="G33" s="178"/>
      <c r="H33" s="178">
        <f t="shared" si="7"/>
        <v>0</v>
      </c>
      <c r="I33" s="178">
        <f t="shared" si="9"/>
        <v>38046948.931903295</v>
      </c>
      <c r="J33" s="178">
        <f t="shared" si="3"/>
        <v>0</v>
      </c>
      <c r="K33" s="178">
        <f t="shared" si="4"/>
        <v>0</v>
      </c>
      <c r="L33" s="178">
        <f t="shared" si="5"/>
        <v>0</v>
      </c>
      <c r="O33" s="176">
        <f t="shared" si="0"/>
        <v>565320.65560253384</v>
      </c>
      <c r="P33" s="175">
        <f t="shared" si="1"/>
        <v>565320.65560253384</v>
      </c>
      <c r="Q33" s="174">
        <v>29</v>
      </c>
      <c r="S33" s="175"/>
    </row>
    <row r="34" spans="1:19">
      <c r="A34" s="180">
        <v>23</v>
      </c>
      <c r="B34" s="178">
        <v>0</v>
      </c>
      <c r="C34" s="178">
        <v>0</v>
      </c>
      <c r="D34" s="178">
        <f t="shared" si="2"/>
        <v>0</v>
      </c>
      <c r="E34" s="178">
        <f t="shared" si="6"/>
        <v>0</v>
      </c>
      <c r="F34" s="178"/>
      <c r="G34" s="178"/>
      <c r="H34" s="178">
        <f t="shared" si="7"/>
        <v>0</v>
      </c>
      <c r="I34" s="178">
        <f t="shared" si="9"/>
        <v>38046948.931903295</v>
      </c>
      <c r="J34" s="178">
        <f t="shared" si="3"/>
        <v>0</v>
      </c>
      <c r="K34" s="178">
        <f t="shared" si="4"/>
        <v>0</v>
      </c>
      <c r="L34" s="178">
        <f t="shared" si="5"/>
        <v>0</v>
      </c>
      <c r="O34" s="176">
        <f t="shared" si="0"/>
        <v>572104.50346976425</v>
      </c>
      <c r="P34" s="175">
        <f t="shared" si="1"/>
        <v>572104.50346976425</v>
      </c>
      <c r="Q34" s="174">
        <v>30</v>
      </c>
      <c r="S34" s="175"/>
    </row>
    <row r="35" spans="1:19">
      <c r="A35" s="180">
        <v>24</v>
      </c>
      <c r="B35" s="178">
        <f>$E$11*$G$3*(3/12)</f>
        <v>0</v>
      </c>
      <c r="C35" s="178">
        <v>0</v>
      </c>
      <c r="D35" s="178">
        <f t="shared" si="2"/>
        <v>0</v>
      </c>
      <c r="E35" s="178">
        <f t="shared" si="6"/>
        <v>0</v>
      </c>
      <c r="F35" s="178"/>
      <c r="G35" s="178"/>
      <c r="H35" s="178">
        <f t="shared" si="7"/>
        <v>0</v>
      </c>
      <c r="I35" s="178">
        <f t="shared" si="9"/>
        <v>38046948.931903295</v>
      </c>
      <c r="J35" s="178">
        <f t="shared" si="3"/>
        <v>0</v>
      </c>
      <c r="K35" s="178">
        <f t="shared" si="4"/>
        <v>0</v>
      </c>
      <c r="L35" s="178">
        <f t="shared" si="5"/>
        <v>0</v>
      </c>
      <c r="O35" s="176">
        <f t="shared" si="0"/>
        <v>578969.75751140143</v>
      </c>
      <c r="P35" s="175">
        <f t="shared" si="1"/>
        <v>578969.75751140143</v>
      </c>
      <c r="Q35" s="174">
        <v>31</v>
      </c>
      <c r="S35" s="175">
        <f>S36*1.25</f>
        <v>5000000</v>
      </c>
    </row>
    <row r="36" spans="1:19">
      <c r="A36" s="180">
        <v>25</v>
      </c>
      <c r="B36" s="178">
        <f t="shared" ref="B36:B67" si="10">E35*($G$3/12)</f>
        <v>0</v>
      </c>
      <c r="C36" s="178">
        <f t="shared" ref="C36:C67" si="11">$E$11/96</f>
        <v>0</v>
      </c>
      <c r="D36" s="178">
        <f t="shared" si="2"/>
        <v>0</v>
      </c>
      <c r="E36" s="178">
        <f t="shared" si="6"/>
        <v>0</v>
      </c>
      <c r="F36" s="178"/>
      <c r="G36" s="178"/>
      <c r="H36" s="178">
        <f t="shared" si="7"/>
        <v>0</v>
      </c>
      <c r="I36" s="178">
        <f t="shared" si="9"/>
        <v>38046948.931903295</v>
      </c>
      <c r="J36" s="178">
        <f t="shared" si="3"/>
        <v>0</v>
      </c>
      <c r="K36" s="178">
        <f t="shared" si="4"/>
        <v>0</v>
      </c>
      <c r="L36" s="178">
        <f t="shared" si="5"/>
        <v>0</v>
      </c>
      <c r="O36" s="176">
        <f t="shared" si="0"/>
        <v>585917.3946015382</v>
      </c>
      <c r="P36" s="175">
        <f t="shared" si="1"/>
        <v>585917.3946015382</v>
      </c>
      <c r="Q36" s="174">
        <v>32</v>
      </c>
      <c r="S36" s="175">
        <f>4000000</f>
        <v>4000000</v>
      </c>
    </row>
    <row r="37" spans="1:19">
      <c r="A37" s="180">
        <v>26</v>
      </c>
      <c r="B37" s="178">
        <f t="shared" si="10"/>
        <v>0</v>
      </c>
      <c r="C37" s="178">
        <f t="shared" si="11"/>
        <v>0</v>
      </c>
      <c r="D37" s="178">
        <f t="shared" si="2"/>
        <v>0</v>
      </c>
      <c r="E37" s="178">
        <f t="shared" si="6"/>
        <v>0</v>
      </c>
      <c r="F37" s="178"/>
      <c r="G37" s="178"/>
      <c r="H37" s="178">
        <f t="shared" si="7"/>
        <v>0</v>
      </c>
      <c r="I37" s="178">
        <f t="shared" si="9"/>
        <v>38046948.931903295</v>
      </c>
      <c r="J37" s="178">
        <f t="shared" si="3"/>
        <v>0</v>
      </c>
      <c r="K37" s="178">
        <f t="shared" si="4"/>
        <v>0</v>
      </c>
      <c r="L37" s="178">
        <f t="shared" si="5"/>
        <v>0</v>
      </c>
      <c r="O37" s="176">
        <f t="shared" ref="O37:O63" si="12">P36*1.2/100+P36</f>
        <v>592948.40333675663</v>
      </c>
      <c r="P37" s="175">
        <f t="shared" ref="P37:P63" si="13">O37</f>
        <v>592948.40333675663</v>
      </c>
      <c r="Q37" s="174">
        <v>33</v>
      </c>
    </row>
    <row r="38" spans="1:19">
      <c r="A38" s="180">
        <v>27</v>
      </c>
      <c r="B38" s="178">
        <f t="shared" si="10"/>
        <v>0</v>
      </c>
      <c r="C38" s="178">
        <f t="shared" si="11"/>
        <v>0</v>
      </c>
      <c r="D38" s="178">
        <f t="shared" si="2"/>
        <v>0</v>
      </c>
      <c r="E38" s="178">
        <f t="shared" si="6"/>
        <v>0</v>
      </c>
      <c r="F38" s="178"/>
      <c r="G38" s="178"/>
      <c r="H38" s="178">
        <f t="shared" si="7"/>
        <v>0</v>
      </c>
      <c r="I38" s="178">
        <f t="shared" si="9"/>
        <v>38046948.931903295</v>
      </c>
      <c r="J38" s="178">
        <f t="shared" si="3"/>
        <v>0</v>
      </c>
      <c r="K38" s="178">
        <f t="shared" si="4"/>
        <v>0</v>
      </c>
      <c r="L38" s="178">
        <f t="shared" si="5"/>
        <v>0</v>
      </c>
      <c r="O38" s="176">
        <f t="shared" si="12"/>
        <v>600063.78417679772</v>
      </c>
      <c r="P38" s="175">
        <f t="shared" si="13"/>
        <v>600063.78417679772</v>
      </c>
      <c r="Q38" s="174">
        <v>34</v>
      </c>
      <c r="S38" s="175">
        <v>250000</v>
      </c>
    </row>
    <row r="39" spans="1:19">
      <c r="A39" s="180">
        <v>28</v>
      </c>
      <c r="B39" s="178">
        <f t="shared" si="10"/>
        <v>0</v>
      </c>
      <c r="C39" s="178">
        <f t="shared" si="11"/>
        <v>0</v>
      </c>
      <c r="D39" s="178">
        <f t="shared" si="2"/>
        <v>0</v>
      </c>
      <c r="E39" s="178">
        <f t="shared" si="6"/>
        <v>0</v>
      </c>
      <c r="F39" s="178"/>
      <c r="G39" s="178"/>
      <c r="H39" s="178">
        <f t="shared" si="7"/>
        <v>0</v>
      </c>
      <c r="I39" s="178">
        <f t="shared" si="9"/>
        <v>38046948.931903295</v>
      </c>
      <c r="J39" s="178">
        <f t="shared" si="3"/>
        <v>0</v>
      </c>
      <c r="K39" s="178">
        <f t="shared" si="4"/>
        <v>0</v>
      </c>
      <c r="L39" s="178">
        <f t="shared" si="5"/>
        <v>0</v>
      </c>
      <c r="O39" s="176">
        <f t="shared" si="12"/>
        <v>607264.54958691925</v>
      </c>
      <c r="P39" s="175">
        <f t="shared" si="13"/>
        <v>607264.54958691925</v>
      </c>
      <c r="Q39" s="174">
        <v>35</v>
      </c>
      <c r="S39" s="175"/>
    </row>
    <row r="40" spans="1:19">
      <c r="A40" s="180">
        <v>29</v>
      </c>
      <c r="B40" s="178">
        <f t="shared" si="10"/>
        <v>0</v>
      </c>
      <c r="C40" s="178">
        <f t="shared" si="11"/>
        <v>0</v>
      </c>
      <c r="D40" s="178">
        <f t="shared" si="2"/>
        <v>0</v>
      </c>
      <c r="E40" s="178">
        <f t="shared" si="6"/>
        <v>0</v>
      </c>
      <c r="F40" s="178"/>
      <c r="G40" s="178"/>
      <c r="H40" s="178">
        <f t="shared" si="7"/>
        <v>0</v>
      </c>
      <c r="I40" s="178">
        <f t="shared" si="9"/>
        <v>38046948.931903295</v>
      </c>
      <c r="J40" s="178">
        <f t="shared" si="3"/>
        <v>0</v>
      </c>
      <c r="K40" s="178">
        <f t="shared" si="4"/>
        <v>0</v>
      </c>
      <c r="L40" s="178">
        <f t="shared" si="5"/>
        <v>0</v>
      </c>
      <c r="O40" s="176">
        <f t="shared" si="12"/>
        <v>614551.72418196232</v>
      </c>
      <c r="P40" s="175">
        <f t="shared" si="13"/>
        <v>614551.72418196232</v>
      </c>
      <c r="Q40" s="174">
        <v>36</v>
      </c>
      <c r="R40" s="176">
        <f>P40-P4</f>
        <v>214551.72418196232</v>
      </c>
      <c r="S40" s="175">
        <v>400000</v>
      </c>
    </row>
    <row r="41" spans="1:19">
      <c r="A41" s="180">
        <v>30</v>
      </c>
      <c r="B41" s="178">
        <f t="shared" si="10"/>
        <v>0</v>
      </c>
      <c r="C41" s="178">
        <f t="shared" si="11"/>
        <v>0</v>
      </c>
      <c r="D41" s="178">
        <f t="shared" si="2"/>
        <v>0</v>
      </c>
      <c r="E41" s="178">
        <f t="shared" si="6"/>
        <v>0</v>
      </c>
      <c r="F41" s="178"/>
      <c r="G41" s="178"/>
      <c r="H41" s="178">
        <f t="shared" si="7"/>
        <v>0</v>
      </c>
      <c r="I41" s="178">
        <f t="shared" si="9"/>
        <v>38046948.931903295</v>
      </c>
      <c r="J41" s="178">
        <f t="shared" si="3"/>
        <v>0</v>
      </c>
      <c r="K41" s="178">
        <f t="shared" si="4"/>
        <v>0</v>
      </c>
      <c r="L41" s="178">
        <f t="shared" si="5"/>
        <v>0</v>
      </c>
      <c r="O41" s="176">
        <f t="shared" si="12"/>
        <v>621926.34487214591</v>
      </c>
      <c r="P41" s="175">
        <f t="shared" si="13"/>
        <v>621926.34487214591</v>
      </c>
      <c r="S41" s="175"/>
    </row>
    <row r="42" spans="1:19">
      <c r="A42" s="180">
        <v>31</v>
      </c>
      <c r="B42" s="178">
        <f t="shared" si="10"/>
        <v>0</v>
      </c>
      <c r="C42" s="178">
        <f t="shared" si="11"/>
        <v>0</v>
      </c>
      <c r="D42" s="178">
        <f t="shared" si="2"/>
        <v>0</v>
      </c>
      <c r="E42" s="178">
        <f t="shared" si="6"/>
        <v>0</v>
      </c>
      <c r="F42" s="178"/>
      <c r="G42" s="178"/>
      <c r="H42" s="178">
        <f t="shared" si="7"/>
        <v>0</v>
      </c>
      <c r="I42" s="178">
        <f t="shared" si="9"/>
        <v>38046948.931903295</v>
      </c>
      <c r="J42" s="178">
        <f t="shared" si="3"/>
        <v>0</v>
      </c>
      <c r="K42" s="178">
        <f t="shared" si="4"/>
        <v>0</v>
      </c>
      <c r="L42" s="178">
        <f t="shared" si="5"/>
        <v>0</v>
      </c>
      <c r="O42" s="176">
        <f t="shared" si="12"/>
        <v>629389.46101061162</v>
      </c>
      <c r="P42" s="175">
        <f t="shared" si="13"/>
        <v>629389.46101061162</v>
      </c>
      <c r="S42" s="175">
        <f>S35-S40-S38</f>
        <v>4350000</v>
      </c>
    </row>
    <row r="43" spans="1:19">
      <c r="A43" s="180">
        <v>32</v>
      </c>
      <c r="B43" s="178">
        <f t="shared" si="10"/>
        <v>0</v>
      </c>
      <c r="C43" s="178">
        <f t="shared" si="11"/>
        <v>0</v>
      </c>
      <c r="D43" s="178">
        <f t="shared" ref="D43:D74" si="14">B43+C43</f>
        <v>0</v>
      </c>
      <c r="E43" s="178">
        <f t="shared" si="6"/>
        <v>0</v>
      </c>
      <c r="F43" s="178"/>
      <c r="G43" s="178"/>
      <c r="H43" s="178">
        <f t="shared" si="7"/>
        <v>0</v>
      </c>
      <c r="I43" s="178">
        <f t="shared" si="9"/>
        <v>38046948.931903295</v>
      </c>
      <c r="J43" s="178">
        <f t="shared" ref="J43:J74" si="15">D43+H43</f>
        <v>0</v>
      </c>
      <c r="K43" s="178">
        <f t="shared" ref="K43:K74" si="16">B43+F43</f>
        <v>0</v>
      </c>
      <c r="L43" s="178">
        <f t="shared" ref="L43:L74" si="17">C43+G43</f>
        <v>0</v>
      </c>
      <c r="O43" s="176">
        <f t="shared" si="12"/>
        <v>636942.1345427389</v>
      </c>
      <c r="P43" s="175">
        <f t="shared" si="13"/>
        <v>636942.1345427389</v>
      </c>
      <c r="S43" s="175">
        <f>S42/2</f>
        <v>2175000</v>
      </c>
    </row>
    <row r="44" spans="1:19">
      <c r="A44" s="180">
        <v>33</v>
      </c>
      <c r="B44" s="178">
        <f t="shared" si="10"/>
        <v>0</v>
      </c>
      <c r="C44" s="178">
        <f t="shared" si="11"/>
        <v>0</v>
      </c>
      <c r="D44" s="178">
        <f t="shared" si="14"/>
        <v>0</v>
      </c>
      <c r="E44" s="178">
        <f t="shared" ref="E44:E75" si="18">E43-C44</f>
        <v>0</v>
      </c>
      <c r="F44" s="178"/>
      <c r="G44" s="178"/>
      <c r="H44" s="178">
        <f t="shared" ref="H44:H75" si="19">F44+G44</f>
        <v>0</v>
      </c>
      <c r="I44" s="178">
        <f t="shared" si="9"/>
        <v>38046948.931903295</v>
      </c>
      <c r="J44" s="178">
        <f t="shared" si="15"/>
        <v>0</v>
      </c>
      <c r="K44" s="178">
        <f t="shared" si="16"/>
        <v>0</v>
      </c>
      <c r="L44" s="178">
        <f t="shared" si="17"/>
        <v>0</v>
      </c>
      <c r="O44" s="176">
        <f t="shared" si="12"/>
        <v>644585.44015725178</v>
      </c>
      <c r="P44" s="175">
        <f t="shared" si="13"/>
        <v>644585.44015725178</v>
      </c>
      <c r="S44" s="175"/>
    </row>
    <row r="45" spans="1:19">
      <c r="A45" s="180">
        <v>34</v>
      </c>
      <c r="B45" s="178">
        <f t="shared" si="10"/>
        <v>0</v>
      </c>
      <c r="C45" s="178">
        <f t="shared" si="11"/>
        <v>0</v>
      </c>
      <c r="D45" s="178">
        <f t="shared" si="14"/>
        <v>0</v>
      </c>
      <c r="E45" s="178">
        <f t="shared" si="18"/>
        <v>0</v>
      </c>
      <c r="F45" s="178"/>
      <c r="G45" s="178"/>
      <c r="H45" s="178">
        <f t="shared" si="19"/>
        <v>0</v>
      </c>
      <c r="I45" s="178">
        <f t="shared" si="9"/>
        <v>38046948.931903295</v>
      </c>
      <c r="J45" s="178">
        <f t="shared" si="15"/>
        <v>0</v>
      </c>
      <c r="K45" s="178">
        <f t="shared" si="16"/>
        <v>0</v>
      </c>
      <c r="L45" s="178">
        <f t="shared" si="17"/>
        <v>0</v>
      </c>
      <c r="O45" s="176">
        <f t="shared" si="12"/>
        <v>652320.46543913882</v>
      </c>
      <c r="P45" s="175">
        <f t="shared" si="13"/>
        <v>652320.46543913882</v>
      </c>
      <c r="S45" s="176">
        <f>S43*0.2/100</f>
        <v>4350</v>
      </c>
    </row>
    <row r="46" spans="1:19">
      <c r="A46" s="180">
        <v>35</v>
      </c>
      <c r="B46" s="178">
        <f t="shared" si="10"/>
        <v>0</v>
      </c>
      <c r="C46" s="178">
        <f t="shared" si="11"/>
        <v>0</v>
      </c>
      <c r="D46" s="178">
        <f t="shared" si="14"/>
        <v>0</v>
      </c>
      <c r="E46" s="178">
        <f t="shared" si="18"/>
        <v>0</v>
      </c>
      <c r="F46" s="178"/>
      <c r="G46" s="178"/>
      <c r="H46" s="178">
        <f t="shared" si="19"/>
        <v>0</v>
      </c>
      <c r="I46" s="178">
        <f t="shared" si="9"/>
        <v>38046948.931903295</v>
      </c>
      <c r="J46" s="178">
        <f t="shared" si="15"/>
        <v>0</v>
      </c>
      <c r="K46" s="178">
        <f t="shared" si="16"/>
        <v>0</v>
      </c>
      <c r="L46" s="178">
        <f t="shared" si="17"/>
        <v>0</v>
      </c>
      <c r="O46" s="176">
        <f t="shared" si="12"/>
        <v>660148.31102440844</v>
      </c>
      <c r="P46" s="175">
        <f t="shared" si="13"/>
        <v>660148.31102440844</v>
      </c>
    </row>
    <row r="47" spans="1:19">
      <c r="A47" s="180">
        <v>36</v>
      </c>
      <c r="B47" s="178">
        <f t="shared" si="10"/>
        <v>0</v>
      </c>
      <c r="C47" s="178">
        <f t="shared" si="11"/>
        <v>0</v>
      </c>
      <c r="D47" s="178">
        <f t="shared" si="14"/>
        <v>0</v>
      </c>
      <c r="E47" s="178">
        <f t="shared" si="18"/>
        <v>0</v>
      </c>
      <c r="F47" s="178"/>
      <c r="G47" s="178"/>
      <c r="H47" s="178">
        <f t="shared" si="19"/>
        <v>0</v>
      </c>
      <c r="I47" s="178">
        <f t="shared" si="9"/>
        <v>38046948.931903295</v>
      </c>
      <c r="J47" s="178">
        <f t="shared" si="15"/>
        <v>0</v>
      </c>
      <c r="K47" s="178">
        <f t="shared" si="16"/>
        <v>0</v>
      </c>
      <c r="L47" s="178">
        <f t="shared" si="17"/>
        <v>0</v>
      </c>
      <c r="O47" s="176">
        <f t="shared" si="12"/>
        <v>668070.09075670131</v>
      </c>
      <c r="P47" s="175">
        <f t="shared" si="13"/>
        <v>668070.09075670131</v>
      </c>
    </row>
    <row r="48" spans="1:19">
      <c r="A48" s="180">
        <v>37</v>
      </c>
      <c r="B48" s="178">
        <f t="shared" si="10"/>
        <v>0</v>
      </c>
      <c r="C48" s="178">
        <f t="shared" si="11"/>
        <v>0</v>
      </c>
      <c r="D48" s="178">
        <f t="shared" si="14"/>
        <v>0</v>
      </c>
      <c r="E48" s="178">
        <f t="shared" si="18"/>
        <v>0</v>
      </c>
      <c r="F48" s="178"/>
      <c r="G48" s="178"/>
      <c r="H48" s="178">
        <f t="shared" si="19"/>
        <v>0</v>
      </c>
      <c r="I48" s="178">
        <f t="shared" si="9"/>
        <v>38046948.931903295</v>
      </c>
      <c r="J48" s="178">
        <f t="shared" si="15"/>
        <v>0</v>
      </c>
      <c r="K48" s="178">
        <f t="shared" si="16"/>
        <v>0</v>
      </c>
      <c r="L48" s="178">
        <f t="shared" si="17"/>
        <v>0</v>
      </c>
      <c r="O48" s="176">
        <f t="shared" si="12"/>
        <v>676086.93184578174</v>
      </c>
      <c r="P48" s="175">
        <f t="shared" si="13"/>
        <v>676086.93184578174</v>
      </c>
    </row>
    <row r="49" spans="1:16">
      <c r="A49" s="180">
        <v>38</v>
      </c>
      <c r="B49" s="178">
        <f t="shared" si="10"/>
        <v>0</v>
      </c>
      <c r="C49" s="178">
        <f t="shared" si="11"/>
        <v>0</v>
      </c>
      <c r="D49" s="178">
        <f t="shared" si="14"/>
        <v>0</v>
      </c>
      <c r="E49" s="178">
        <f t="shared" si="18"/>
        <v>0</v>
      </c>
      <c r="F49" s="178"/>
      <c r="G49" s="178"/>
      <c r="H49" s="178">
        <f t="shared" si="19"/>
        <v>0</v>
      </c>
      <c r="I49" s="178">
        <f t="shared" si="9"/>
        <v>38046948.931903295</v>
      </c>
      <c r="J49" s="178">
        <f t="shared" si="15"/>
        <v>0</v>
      </c>
      <c r="K49" s="178">
        <f t="shared" si="16"/>
        <v>0</v>
      </c>
      <c r="L49" s="178">
        <f t="shared" si="17"/>
        <v>0</v>
      </c>
      <c r="O49" s="176">
        <f t="shared" si="12"/>
        <v>684199.97502793116</v>
      </c>
      <c r="P49" s="175">
        <f t="shared" si="13"/>
        <v>684199.97502793116</v>
      </c>
    </row>
    <row r="50" spans="1:16">
      <c r="A50" s="180">
        <v>39</v>
      </c>
      <c r="B50" s="178">
        <f t="shared" si="10"/>
        <v>0</v>
      </c>
      <c r="C50" s="178">
        <f t="shared" si="11"/>
        <v>0</v>
      </c>
      <c r="D50" s="178">
        <f t="shared" si="14"/>
        <v>0</v>
      </c>
      <c r="E50" s="178">
        <f t="shared" si="18"/>
        <v>0</v>
      </c>
      <c r="F50" s="178"/>
      <c r="G50" s="178"/>
      <c r="H50" s="178">
        <f t="shared" si="19"/>
        <v>0</v>
      </c>
      <c r="I50" s="178">
        <f t="shared" si="9"/>
        <v>38046948.931903295</v>
      </c>
      <c r="J50" s="178">
        <f t="shared" si="15"/>
        <v>0</v>
      </c>
      <c r="K50" s="178">
        <f t="shared" si="16"/>
        <v>0</v>
      </c>
      <c r="L50" s="178">
        <f t="shared" si="17"/>
        <v>0</v>
      </c>
      <c r="O50" s="176">
        <f t="shared" si="12"/>
        <v>692410.37472826638</v>
      </c>
      <c r="P50" s="175">
        <f t="shared" si="13"/>
        <v>692410.37472826638</v>
      </c>
    </row>
    <row r="51" spans="1:16">
      <c r="A51" s="180">
        <v>40</v>
      </c>
      <c r="B51" s="178">
        <f t="shared" si="10"/>
        <v>0</v>
      </c>
      <c r="C51" s="178">
        <f t="shared" si="11"/>
        <v>0</v>
      </c>
      <c r="D51" s="178">
        <f t="shared" si="14"/>
        <v>0</v>
      </c>
      <c r="E51" s="178">
        <f t="shared" si="18"/>
        <v>0</v>
      </c>
      <c r="F51" s="178"/>
      <c r="G51" s="178"/>
      <c r="H51" s="178">
        <f t="shared" si="19"/>
        <v>0</v>
      </c>
      <c r="I51" s="178">
        <f t="shared" si="9"/>
        <v>38046948.931903295</v>
      </c>
      <c r="J51" s="178">
        <f t="shared" si="15"/>
        <v>0</v>
      </c>
      <c r="K51" s="178">
        <f t="shared" si="16"/>
        <v>0</v>
      </c>
      <c r="L51" s="178">
        <f t="shared" si="17"/>
        <v>0</v>
      </c>
      <c r="O51" s="176">
        <f t="shared" si="12"/>
        <v>700719.29922500555</v>
      </c>
      <c r="P51" s="175">
        <f t="shared" si="13"/>
        <v>700719.29922500555</v>
      </c>
    </row>
    <row r="52" spans="1:16">
      <c r="A52" s="180">
        <v>41</v>
      </c>
      <c r="B52" s="178">
        <f t="shared" si="10"/>
        <v>0</v>
      </c>
      <c r="C52" s="178">
        <f t="shared" si="11"/>
        <v>0</v>
      </c>
      <c r="D52" s="178">
        <f t="shared" si="14"/>
        <v>0</v>
      </c>
      <c r="E52" s="178">
        <f t="shared" si="18"/>
        <v>0</v>
      </c>
      <c r="F52" s="178"/>
      <c r="G52" s="178"/>
      <c r="H52" s="178">
        <f t="shared" si="19"/>
        <v>0</v>
      </c>
      <c r="I52" s="178">
        <f t="shared" si="9"/>
        <v>38046948.931903295</v>
      </c>
      <c r="J52" s="178">
        <f t="shared" si="15"/>
        <v>0</v>
      </c>
      <c r="K52" s="178">
        <f t="shared" si="16"/>
        <v>0</v>
      </c>
      <c r="L52" s="178">
        <f t="shared" si="17"/>
        <v>0</v>
      </c>
      <c r="O52" s="176">
        <f t="shared" si="12"/>
        <v>709127.93081570556</v>
      </c>
      <c r="P52" s="175">
        <f t="shared" si="13"/>
        <v>709127.93081570556</v>
      </c>
    </row>
    <row r="53" spans="1:16">
      <c r="A53" s="180">
        <v>42</v>
      </c>
      <c r="B53" s="178">
        <f t="shared" si="10"/>
        <v>0</v>
      </c>
      <c r="C53" s="178">
        <f t="shared" si="11"/>
        <v>0</v>
      </c>
      <c r="D53" s="178">
        <f t="shared" si="14"/>
        <v>0</v>
      </c>
      <c r="E53" s="178">
        <f t="shared" si="18"/>
        <v>0</v>
      </c>
      <c r="F53" s="178"/>
      <c r="G53" s="178"/>
      <c r="H53" s="178">
        <f t="shared" si="19"/>
        <v>0</v>
      </c>
      <c r="I53" s="178">
        <f t="shared" si="9"/>
        <v>38046948.931903295</v>
      </c>
      <c r="J53" s="178">
        <f t="shared" si="15"/>
        <v>0</v>
      </c>
      <c r="K53" s="178">
        <f t="shared" si="16"/>
        <v>0</v>
      </c>
      <c r="L53" s="178">
        <f t="shared" si="17"/>
        <v>0</v>
      </c>
      <c r="O53" s="176">
        <f t="shared" si="12"/>
        <v>717637.46598549408</v>
      </c>
      <c r="P53" s="175">
        <f t="shared" si="13"/>
        <v>717637.46598549408</v>
      </c>
    </row>
    <row r="54" spans="1:16">
      <c r="A54" s="180">
        <v>43</v>
      </c>
      <c r="B54" s="178">
        <f t="shared" si="10"/>
        <v>0</v>
      </c>
      <c r="C54" s="178">
        <f t="shared" si="11"/>
        <v>0</v>
      </c>
      <c r="D54" s="178">
        <f t="shared" si="14"/>
        <v>0</v>
      </c>
      <c r="E54" s="178">
        <f t="shared" si="18"/>
        <v>0</v>
      </c>
      <c r="F54" s="178"/>
      <c r="G54" s="178"/>
      <c r="H54" s="178">
        <f t="shared" si="19"/>
        <v>0</v>
      </c>
      <c r="I54" s="178">
        <f t="shared" si="9"/>
        <v>38046948.931903295</v>
      </c>
      <c r="J54" s="178">
        <f t="shared" si="15"/>
        <v>0</v>
      </c>
      <c r="K54" s="178">
        <f t="shared" si="16"/>
        <v>0</v>
      </c>
      <c r="L54" s="178">
        <f t="shared" si="17"/>
        <v>0</v>
      </c>
      <c r="O54" s="176">
        <f t="shared" si="12"/>
        <v>726249.11557731999</v>
      </c>
      <c r="P54" s="175">
        <f t="shared" si="13"/>
        <v>726249.11557731999</v>
      </c>
    </row>
    <row r="55" spans="1:16">
      <c r="A55" s="180">
        <v>44</v>
      </c>
      <c r="B55" s="178">
        <f t="shared" si="10"/>
        <v>0</v>
      </c>
      <c r="C55" s="178">
        <f t="shared" si="11"/>
        <v>0</v>
      </c>
      <c r="D55" s="178">
        <f t="shared" si="14"/>
        <v>0</v>
      </c>
      <c r="E55" s="178">
        <f t="shared" si="18"/>
        <v>0</v>
      </c>
      <c r="F55" s="178"/>
      <c r="G55" s="178"/>
      <c r="H55" s="178">
        <f t="shared" si="19"/>
        <v>0</v>
      </c>
      <c r="I55" s="178">
        <f t="shared" si="9"/>
        <v>38046948.931903295</v>
      </c>
      <c r="J55" s="178">
        <f t="shared" si="15"/>
        <v>0</v>
      </c>
      <c r="K55" s="178">
        <f t="shared" si="16"/>
        <v>0</v>
      </c>
      <c r="L55" s="178">
        <f t="shared" si="17"/>
        <v>0</v>
      </c>
      <c r="O55" s="176">
        <f t="shared" si="12"/>
        <v>734964.10496424779</v>
      </c>
      <c r="P55" s="175">
        <f t="shared" si="13"/>
        <v>734964.10496424779</v>
      </c>
    </row>
    <row r="56" spans="1:16">
      <c r="A56" s="180">
        <v>45</v>
      </c>
      <c r="B56" s="178">
        <f t="shared" si="10"/>
        <v>0</v>
      </c>
      <c r="C56" s="178">
        <f t="shared" si="11"/>
        <v>0</v>
      </c>
      <c r="D56" s="178">
        <f t="shared" si="14"/>
        <v>0</v>
      </c>
      <c r="E56" s="178">
        <f t="shared" si="18"/>
        <v>0</v>
      </c>
      <c r="F56" s="178"/>
      <c r="G56" s="178"/>
      <c r="H56" s="178">
        <f t="shared" si="19"/>
        <v>0</v>
      </c>
      <c r="I56" s="178">
        <f t="shared" ref="I56:I87" si="20">I55-G56</f>
        <v>38046948.931903295</v>
      </c>
      <c r="J56" s="178">
        <f t="shared" si="15"/>
        <v>0</v>
      </c>
      <c r="K56" s="178">
        <f t="shared" si="16"/>
        <v>0</v>
      </c>
      <c r="L56" s="178">
        <f t="shared" si="17"/>
        <v>0</v>
      </c>
      <c r="O56" s="176">
        <f t="shared" si="12"/>
        <v>743783.67422381882</v>
      </c>
      <c r="P56" s="175">
        <f t="shared" si="13"/>
        <v>743783.67422381882</v>
      </c>
    </row>
    <row r="57" spans="1:16">
      <c r="A57" s="180">
        <v>46</v>
      </c>
      <c r="B57" s="178">
        <f t="shared" si="10"/>
        <v>0</v>
      </c>
      <c r="C57" s="178">
        <f t="shared" si="11"/>
        <v>0</v>
      </c>
      <c r="D57" s="178">
        <f t="shared" si="14"/>
        <v>0</v>
      </c>
      <c r="E57" s="178">
        <f t="shared" si="18"/>
        <v>0</v>
      </c>
      <c r="F57" s="178"/>
      <c r="G57" s="178"/>
      <c r="H57" s="178">
        <f t="shared" si="19"/>
        <v>0</v>
      </c>
      <c r="I57" s="178">
        <f t="shared" si="20"/>
        <v>38046948.931903295</v>
      </c>
      <c r="J57" s="178">
        <f t="shared" si="15"/>
        <v>0</v>
      </c>
      <c r="K57" s="178">
        <f t="shared" si="16"/>
        <v>0</v>
      </c>
      <c r="L57" s="178">
        <f t="shared" si="17"/>
        <v>0</v>
      </c>
      <c r="O57" s="176">
        <f t="shared" si="12"/>
        <v>752709.07831450459</v>
      </c>
      <c r="P57" s="175">
        <f t="shared" si="13"/>
        <v>752709.07831450459</v>
      </c>
    </row>
    <row r="58" spans="1:16">
      <c r="A58" s="180">
        <v>47</v>
      </c>
      <c r="B58" s="178">
        <f t="shared" si="10"/>
        <v>0</v>
      </c>
      <c r="C58" s="178">
        <f t="shared" si="11"/>
        <v>0</v>
      </c>
      <c r="D58" s="178">
        <f t="shared" si="14"/>
        <v>0</v>
      </c>
      <c r="E58" s="178">
        <f t="shared" si="18"/>
        <v>0</v>
      </c>
      <c r="F58" s="178"/>
      <c r="G58" s="178"/>
      <c r="H58" s="178">
        <f t="shared" si="19"/>
        <v>0</v>
      </c>
      <c r="I58" s="178">
        <f t="shared" si="20"/>
        <v>38046948.931903295</v>
      </c>
      <c r="J58" s="178">
        <f t="shared" si="15"/>
        <v>0</v>
      </c>
      <c r="K58" s="178">
        <f t="shared" si="16"/>
        <v>0</v>
      </c>
      <c r="L58" s="178">
        <f t="shared" si="17"/>
        <v>0</v>
      </c>
      <c r="O58" s="176">
        <f t="shared" si="12"/>
        <v>761741.58725427859</v>
      </c>
      <c r="P58" s="175">
        <f t="shared" si="13"/>
        <v>761741.58725427859</v>
      </c>
    </row>
    <row r="59" spans="1:16">
      <c r="A59" s="180">
        <v>48</v>
      </c>
      <c r="B59" s="178">
        <f t="shared" si="10"/>
        <v>0</v>
      </c>
      <c r="C59" s="178">
        <f t="shared" si="11"/>
        <v>0</v>
      </c>
      <c r="D59" s="178">
        <f t="shared" si="14"/>
        <v>0</v>
      </c>
      <c r="E59" s="178">
        <f t="shared" si="18"/>
        <v>0</v>
      </c>
      <c r="F59" s="178"/>
      <c r="G59" s="178"/>
      <c r="H59" s="178">
        <f t="shared" si="19"/>
        <v>0</v>
      </c>
      <c r="I59" s="178">
        <f t="shared" si="20"/>
        <v>38046948.931903295</v>
      </c>
      <c r="J59" s="178">
        <f t="shared" si="15"/>
        <v>0</v>
      </c>
      <c r="K59" s="178">
        <f t="shared" si="16"/>
        <v>0</v>
      </c>
      <c r="L59" s="178">
        <f t="shared" si="17"/>
        <v>0</v>
      </c>
      <c r="O59" s="176">
        <f t="shared" si="12"/>
        <v>770882.48630132992</v>
      </c>
      <c r="P59" s="175">
        <f t="shared" si="13"/>
        <v>770882.48630132992</v>
      </c>
    </row>
    <row r="60" spans="1:16">
      <c r="A60" s="180">
        <v>49</v>
      </c>
      <c r="B60" s="178">
        <f t="shared" si="10"/>
        <v>0</v>
      </c>
      <c r="C60" s="178">
        <f t="shared" si="11"/>
        <v>0</v>
      </c>
      <c r="D60" s="178">
        <f t="shared" si="14"/>
        <v>0</v>
      </c>
      <c r="E60" s="178">
        <f t="shared" si="18"/>
        <v>0</v>
      </c>
      <c r="F60" s="178"/>
      <c r="G60" s="178"/>
      <c r="H60" s="178">
        <f t="shared" si="19"/>
        <v>0</v>
      </c>
      <c r="I60" s="178">
        <f t="shared" si="20"/>
        <v>38046948.931903295</v>
      </c>
      <c r="J60" s="178">
        <f t="shared" si="15"/>
        <v>0</v>
      </c>
      <c r="K60" s="178">
        <f t="shared" si="16"/>
        <v>0</v>
      </c>
      <c r="L60" s="178">
        <f t="shared" si="17"/>
        <v>0</v>
      </c>
      <c r="O60" s="176">
        <f t="shared" si="12"/>
        <v>780133.07613694586</v>
      </c>
      <c r="P60" s="175">
        <f t="shared" si="13"/>
        <v>780133.07613694586</v>
      </c>
    </row>
    <row r="61" spans="1:16">
      <c r="A61" s="180">
        <v>50</v>
      </c>
      <c r="B61" s="178">
        <f t="shared" si="10"/>
        <v>0</v>
      </c>
      <c r="C61" s="178">
        <f t="shared" si="11"/>
        <v>0</v>
      </c>
      <c r="D61" s="178">
        <f t="shared" si="14"/>
        <v>0</v>
      </c>
      <c r="E61" s="178">
        <f t="shared" si="18"/>
        <v>0</v>
      </c>
      <c r="F61" s="178"/>
      <c r="G61" s="178"/>
      <c r="H61" s="178">
        <f t="shared" si="19"/>
        <v>0</v>
      </c>
      <c r="I61" s="178">
        <f t="shared" si="20"/>
        <v>38046948.931903295</v>
      </c>
      <c r="J61" s="178">
        <f t="shared" si="15"/>
        <v>0</v>
      </c>
      <c r="K61" s="178">
        <f t="shared" si="16"/>
        <v>0</v>
      </c>
      <c r="L61" s="178">
        <f t="shared" si="17"/>
        <v>0</v>
      </c>
      <c r="O61" s="176">
        <f t="shared" si="12"/>
        <v>789494.67305058916</v>
      </c>
      <c r="P61" s="175">
        <f t="shared" si="13"/>
        <v>789494.67305058916</v>
      </c>
    </row>
    <row r="62" spans="1:16">
      <c r="A62" s="180">
        <v>51</v>
      </c>
      <c r="B62" s="178">
        <f t="shared" si="10"/>
        <v>0</v>
      </c>
      <c r="C62" s="178">
        <f t="shared" si="11"/>
        <v>0</v>
      </c>
      <c r="D62" s="178">
        <f t="shared" si="14"/>
        <v>0</v>
      </c>
      <c r="E62" s="178">
        <f t="shared" si="18"/>
        <v>0</v>
      </c>
      <c r="F62" s="178"/>
      <c r="G62" s="178"/>
      <c r="H62" s="178">
        <f t="shared" si="19"/>
        <v>0</v>
      </c>
      <c r="I62" s="178">
        <f t="shared" si="20"/>
        <v>38046948.931903295</v>
      </c>
      <c r="J62" s="178">
        <f t="shared" si="15"/>
        <v>0</v>
      </c>
      <c r="K62" s="178">
        <f t="shared" si="16"/>
        <v>0</v>
      </c>
      <c r="L62" s="178">
        <f t="shared" si="17"/>
        <v>0</v>
      </c>
      <c r="O62" s="176">
        <f t="shared" si="12"/>
        <v>798968.60912719625</v>
      </c>
      <c r="P62" s="175">
        <f t="shared" si="13"/>
        <v>798968.60912719625</v>
      </c>
    </row>
    <row r="63" spans="1:16">
      <c r="A63" s="180">
        <v>52</v>
      </c>
      <c r="B63" s="178">
        <f t="shared" si="10"/>
        <v>0</v>
      </c>
      <c r="C63" s="178">
        <f t="shared" si="11"/>
        <v>0</v>
      </c>
      <c r="D63" s="178">
        <f t="shared" si="14"/>
        <v>0</v>
      </c>
      <c r="E63" s="178">
        <f t="shared" si="18"/>
        <v>0</v>
      </c>
      <c r="F63" s="178"/>
      <c r="G63" s="178"/>
      <c r="H63" s="178">
        <f t="shared" si="19"/>
        <v>0</v>
      </c>
      <c r="I63" s="178">
        <f t="shared" si="20"/>
        <v>38046948.931903295</v>
      </c>
      <c r="J63" s="178">
        <f t="shared" si="15"/>
        <v>0</v>
      </c>
      <c r="K63" s="178">
        <f t="shared" si="16"/>
        <v>0</v>
      </c>
      <c r="L63" s="178">
        <f t="shared" si="17"/>
        <v>0</v>
      </c>
      <c r="O63" s="176">
        <f t="shared" si="12"/>
        <v>808556.23243672261</v>
      </c>
      <c r="P63" s="175">
        <f t="shared" si="13"/>
        <v>808556.23243672261</v>
      </c>
    </row>
    <row r="64" spans="1:16">
      <c r="A64" s="180">
        <v>53</v>
      </c>
      <c r="B64" s="178">
        <f t="shared" si="10"/>
        <v>0</v>
      </c>
      <c r="C64" s="178">
        <f t="shared" si="11"/>
        <v>0</v>
      </c>
      <c r="D64" s="178">
        <f t="shared" si="14"/>
        <v>0</v>
      </c>
      <c r="E64" s="178">
        <f t="shared" si="18"/>
        <v>0</v>
      </c>
      <c r="F64" s="178"/>
      <c r="G64" s="178"/>
      <c r="H64" s="178">
        <f t="shared" si="19"/>
        <v>0</v>
      </c>
      <c r="I64" s="178">
        <f t="shared" si="20"/>
        <v>38046948.931903295</v>
      </c>
      <c r="J64" s="178">
        <f t="shared" si="15"/>
        <v>0</v>
      </c>
      <c r="K64" s="178">
        <f t="shared" si="16"/>
        <v>0</v>
      </c>
      <c r="L64" s="178">
        <f t="shared" si="17"/>
        <v>0</v>
      </c>
    </row>
    <row r="65" spans="1:12">
      <c r="A65" s="180">
        <v>54</v>
      </c>
      <c r="B65" s="178">
        <f t="shared" si="10"/>
        <v>0</v>
      </c>
      <c r="C65" s="178">
        <f t="shared" si="11"/>
        <v>0</v>
      </c>
      <c r="D65" s="178">
        <f t="shared" si="14"/>
        <v>0</v>
      </c>
      <c r="E65" s="178">
        <f t="shared" si="18"/>
        <v>0</v>
      </c>
      <c r="F65" s="178"/>
      <c r="G65" s="178"/>
      <c r="H65" s="178">
        <f t="shared" si="19"/>
        <v>0</v>
      </c>
      <c r="I65" s="178">
        <f t="shared" si="20"/>
        <v>38046948.931903295</v>
      </c>
      <c r="J65" s="178">
        <f t="shared" si="15"/>
        <v>0</v>
      </c>
      <c r="K65" s="178">
        <f t="shared" si="16"/>
        <v>0</v>
      </c>
      <c r="L65" s="178">
        <f t="shared" si="17"/>
        <v>0</v>
      </c>
    </row>
    <row r="66" spans="1:12">
      <c r="A66" s="180">
        <v>55</v>
      </c>
      <c r="B66" s="178">
        <f t="shared" si="10"/>
        <v>0</v>
      </c>
      <c r="C66" s="178">
        <f t="shared" si="11"/>
        <v>0</v>
      </c>
      <c r="D66" s="178">
        <f t="shared" si="14"/>
        <v>0</v>
      </c>
      <c r="E66" s="178">
        <f t="shared" si="18"/>
        <v>0</v>
      </c>
      <c r="F66" s="178"/>
      <c r="G66" s="178"/>
      <c r="H66" s="178">
        <f t="shared" si="19"/>
        <v>0</v>
      </c>
      <c r="I66" s="178">
        <f t="shared" si="20"/>
        <v>38046948.931903295</v>
      </c>
      <c r="J66" s="178">
        <f t="shared" si="15"/>
        <v>0</v>
      </c>
      <c r="K66" s="178">
        <f t="shared" si="16"/>
        <v>0</v>
      </c>
      <c r="L66" s="178">
        <f t="shared" si="17"/>
        <v>0</v>
      </c>
    </row>
    <row r="67" spans="1:12">
      <c r="A67" s="180">
        <v>56</v>
      </c>
      <c r="B67" s="178">
        <f t="shared" si="10"/>
        <v>0</v>
      </c>
      <c r="C67" s="178">
        <f t="shared" si="11"/>
        <v>0</v>
      </c>
      <c r="D67" s="178">
        <f t="shared" si="14"/>
        <v>0</v>
      </c>
      <c r="E67" s="178">
        <f t="shared" si="18"/>
        <v>0</v>
      </c>
      <c r="F67" s="178"/>
      <c r="G67" s="178"/>
      <c r="H67" s="178">
        <f t="shared" si="19"/>
        <v>0</v>
      </c>
      <c r="I67" s="178">
        <f t="shared" si="20"/>
        <v>38046948.931903295</v>
      </c>
      <c r="J67" s="178">
        <f t="shared" si="15"/>
        <v>0</v>
      </c>
      <c r="K67" s="178">
        <f t="shared" si="16"/>
        <v>0</v>
      </c>
      <c r="L67" s="178">
        <f t="shared" si="17"/>
        <v>0</v>
      </c>
    </row>
    <row r="68" spans="1:12">
      <c r="A68" s="180">
        <v>57</v>
      </c>
      <c r="B68" s="178">
        <f t="shared" ref="B68:B99" si="21">E67*($G$3/12)</f>
        <v>0</v>
      </c>
      <c r="C68" s="178">
        <f t="shared" ref="C68:C99" si="22">$E$11/96</f>
        <v>0</v>
      </c>
      <c r="D68" s="178">
        <f t="shared" si="14"/>
        <v>0</v>
      </c>
      <c r="E68" s="178">
        <f t="shared" si="18"/>
        <v>0</v>
      </c>
      <c r="F68" s="178"/>
      <c r="G68" s="178"/>
      <c r="H68" s="178">
        <f t="shared" si="19"/>
        <v>0</v>
      </c>
      <c r="I68" s="178">
        <f t="shared" si="20"/>
        <v>38046948.931903295</v>
      </c>
      <c r="J68" s="178">
        <f t="shared" si="15"/>
        <v>0</v>
      </c>
      <c r="K68" s="178">
        <f t="shared" si="16"/>
        <v>0</v>
      </c>
      <c r="L68" s="178">
        <f t="shared" si="17"/>
        <v>0</v>
      </c>
    </row>
    <row r="69" spans="1:12">
      <c r="A69" s="180">
        <v>58</v>
      </c>
      <c r="B69" s="178">
        <f t="shared" si="21"/>
        <v>0</v>
      </c>
      <c r="C69" s="178">
        <f t="shared" si="22"/>
        <v>0</v>
      </c>
      <c r="D69" s="178">
        <f t="shared" si="14"/>
        <v>0</v>
      </c>
      <c r="E69" s="178">
        <f t="shared" si="18"/>
        <v>0</v>
      </c>
      <c r="F69" s="178"/>
      <c r="G69" s="178"/>
      <c r="H69" s="178">
        <f t="shared" si="19"/>
        <v>0</v>
      </c>
      <c r="I69" s="178">
        <f t="shared" si="20"/>
        <v>38046948.931903295</v>
      </c>
      <c r="J69" s="178">
        <f t="shared" si="15"/>
        <v>0</v>
      </c>
      <c r="K69" s="178">
        <f t="shared" si="16"/>
        <v>0</v>
      </c>
      <c r="L69" s="178">
        <f t="shared" si="17"/>
        <v>0</v>
      </c>
    </row>
    <row r="70" spans="1:12">
      <c r="A70" s="180">
        <v>59</v>
      </c>
      <c r="B70" s="178">
        <f t="shared" si="21"/>
        <v>0</v>
      </c>
      <c r="C70" s="178">
        <f t="shared" si="22"/>
        <v>0</v>
      </c>
      <c r="D70" s="178">
        <f t="shared" si="14"/>
        <v>0</v>
      </c>
      <c r="E70" s="178">
        <f t="shared" si="18"/>
        <v>0</v>
      </c>
      <c r="F70" s="178"/>
      <c r="G70" s="178"/>
      <c r="H70" s="178">
        <f t="shared" si="19"/>
        <v>0</v>
      </c>
      <c r="I70" s="178">
        <f t="shared" si="20"/>
        <v>38046948.931903295</v>
      </c>
      <c r="J70" s="178">
        <f t="shared" si="15"/>
        <v>0</v>
      </c>
      <c r="K70" s="178">
        <f t="shared" si="16"/>
        <v>0</v>
      </c>
      <c r="L70" s="178">
        <f t="shared" si="17"/>
        <v>0</v>
      </c>
    </row>
    <row r="71" spans="1:12">
      <c r="A71" s="180">
        <v>60</v>
      </c>
      <c r="B71" s="178">
        <f t="shared" si="21"/>
        <v>0</v>
      </c>
      <c r="C71" s="178">
        <f t="shared" si="22"/>
        <v>0</v>
      </c>
      <c r="D71" s="178">
        <f t="shared" si="14"/>
        <v>0</v>
      </c>
      <c r="E71" s="178">
        <f t="shared" si="18"/>
        <v>0</v>
      </c>
      <c r="F71" s="178"/>
      <c r="G71" s="178"/>
      <c r="H71" s="178">
        <f t="shared" si="19"/>
        <v>0</v>
      </c>
      <c r="I71" s="178">
        <f t="shared" si="20"/>
        <v>38046948.931903295</v>
      </c>
      <c r="J71" s="178">
        <f t="shared" si="15"/>
        <v>0</v>
      </c>
      <c r="K71" s="178">
        <f t="shared" si="16"/>
        <v>0</v>
      </c>
      <c r="L71" s="178">
        <f t="shared" si="17"/>
        <v>0</v>
      </c>
    </row>
    <row r="72" spans="1:12">
      <c r="A72" s="180">
        <v>61</v>
      </c>
      <c r="B72" s="178">
        <f t="shared" si="21"/>
        <v>0</v>
      </c>
      <c r="C72" s="178">
        <f t="shared" si="22"/>
        <v>0</v>
      </c>
      <c r="D72" s="178">
        <f t="shared" si="14"/>
        <v>0</v>
      </c>
      <c r="E72" s="178">
        <f t="shared" si="18"/>
        <v>0</v>
      </c>
      <c r="F72" s="178"/>
      <c r="G72" s="178"/>
      <c r="H72" s="178">
        <f t="shared" si="19"/>
        <v>0</v>
      </c>
      <c r="I72" s="178">
        <f t="shared" si="20"/>
        <v>38046948.931903295</v>
      </c>
      <c r="J72" s="178">
        <f t="shared" si="15"/>
        <v>0</v>
      </c>
      <c r="K72" s="178">
        <f t="shared" si="16"/>
        <v>0</v>
      </c>
      <c r="L72" s="178">
        <f t="shared" si="17"/>
        <v>0</v>
      </c>
    </row>
    <row r="73" spans="1:12">
      <c r="A73" s="180">
        <v>62</v>
      </c>
      <c r="B73" s="178">
        <f t="shared" si="21"/>
        <v>0</v>
      </c>
      <c r="C73" s="178">
        <f t="shared" si="22"/>
        <v>0</v>
      </c>
      <c r="D73" s="178">
        <f t="shared" si="14"/>
        <v>0</v>
      </c>
      <c r="E73" s="178">
        <f t="shared" si="18"/>
        <v>0</v>
      </c>
      <c r="F73" s="178"/>
      <c r="G73" s="178"/>
      <c r="H73" s="178">
        <f t="shared" si="19"/>
        <v>0</v>
      </c>
      <c r="I73" s="178">
        <f t="shared" si="20"/>
        <v>38046948.931903295</v>
      </c>
      <c r="J73" s="178">
        <f t="shared" si="15"/>
        <v>0</v>
      </c>
      <c r="K73" s="178">
        <f t="shared" si="16"/>
        <v>0</v>
      </c>
      <c r="L73" s="178">
        <f t="shared" si="17"/>
        <v>0</v>
      </c>
    </row>
    <row r="74" spans="1:12">
      <c r="A74" s="180">
        <v>63</v>
      </c>
      <c r="B74" s="178">
        <f t="shared" si="21"/>
        <v>0</v>
      </c>
      <c r="C74" s="178">
        <f t="shared" si="22"/>
        <v>0</v>
      </c>
      <c r="D74" s="178">
        <f t="shared" si="14"/>
        <v>0</v>
      </c>
      <c r="E74" s="178">
        <f t="shared" si="18"/>
        <v>0</v>
      </c>
      <c r="F74" s="178"/>
      <c r="G74" s="178"/>
      <c r="H74" s="178">
        <f t="shared" si="19"/>
        <v>0</v>
      </c>
      <c r="I74" s="178">
        <f t="shared" si="20"/>
        <v>38046948.931903295</v>
      </c>
      <c r="J74" s="178">
        <f t="shared" si="15"/>
        <v>0</v>
      </c>
      <c r="K74" s="178">
        <f t="shared" si="16"/>
        <v>0</v>
      </c>
      <c r="L74" s="178">
        <f t="shared" si="17"/>
        <v>0</v>
      </c>
    </row>
    <row r="75" spans="1:12">
      <c r="A75" s="180">
        <v>64</v>
      </c>
      <c r="B75" s="178">
        <f t="shared" si="21"/>
        <v>0</v>
      </c>
      <c r="C75" s="178">
        <f t="shared" si="22"/>
        <v>0</v>
      </c>
      <c r="D75" s="178">
        <f t="shared" ref="D75:D106" si="23">B75+C75</f>
        <v>0</v>
      </c>
      <c r="E75" s="178">
        <f t="shared" si="18"/>
        <v>0</v>
      </c>
      <c r="F75" s="178"/>
      <c r="G75" s="178"/>
      <c r="H75" s="178">
        <f t="shared" si="19"/>
        <v>0</v>
      </c>
      <c r="I75" s="178">
        <f t="shared" si="20"/>
        <v>38046948.931903295</v>
      </c>
      <c r="J75" s="178">
        <f t="shared" ref="J75:J106" si="24">D75+H75</f>
        <v>0</v>
      </c>
      <c r="K75" s="178">
        <f t="shared" ref="K75:K106" si="25">B75+F75</f>
        <v>0</v>
      </c>
      <c r="L75" s="178">
        <f t="shared" ref="L75:L106" si="26">C75+G75</f>
        <v>0</v>
      </c>
    </row>
    <row r="76" spans="1:12">
      <c r="A76" s="180">
        <v>65</v>
      </c>
      <c r="B76" s="178">
        <f t="shared" si="21"/>
        <v>0</v>
      </c>
      <c r="C76" s="178">
        <f t="shared" si="22"/>
        <v>0</v>
      </c>
      <c r="D76" s="178">
        <f t="shared" si="23"/>
        <v>0</v>
      </c>
      <c r="E76" s="178">
        <f t="shared" ref="E76:E107" si="27">E75-C76</f>
        <v>0</v>
      </c>
      <c r="F76" s="178"/>
      <c r="G76" s="178"/>
      <c r="H76" s="178">
        <f t="shared" ref="H76:H107" si="28">F76+G76</f>
        <v>0</v>
      </c>
      <c r="I76" s="178">
        <f t="shared" si="20"/>
        <v>38046948.931903295</v>
      </c>
      <c r="J76" s="178">
        <f t="shared" si="24"/>
        <v>0</v>
      </c>
      <c r="K76" s="178">
        <f t="shared" si="25"/>
        <v>0</v>
      </c>
      <c r="L76" s="178">
        <f t="shared" si="26"/>
        <v>0</v>
      </c>
    </row>
    <row r="77" spans="1:12">
      <c r="A77" s="180">
        <v>66</v>
      </c>
      <c r="B77" s="178">
        <f t="shared" si="21"/>
        <v>0</v>
      </c>
      <c r="C77" s="178">
        <f t="shared" si="22"/>
        <v>0</v>
      </c>
      <c r="D77" s="178">
        <f t="shared" si="23"/>
        <v>0</v>
      </c>
      <c r="E77" s="178">
        <f t="shared" si="27"/>
        <v>0</v>
      </c>
      <c r="F77" s="178"/>
      <c r="G77" s="178"/>
      <c r="H77" s="178">
        <f t="shared" si="28"/>
        <v>0</v>
      </c>
      <c r="I77" s="178">
        <f t="shared" si="20"/>
        <v>38046948.931903295</v>
      </c>
      <c r="J77" s="178">
        <f t="shared" si="24"/>
        <v>0</v>
      </c>
      <c r="K77" s="178">
        <f t="shared" si="25"/>
        <v>0</v>
      </c>
      <c r="L77" s="178">
        <f t="shared" si="26"/>
        <v>0</v>
      </c>
    </row>
    <row r="78" spans="1:12">
      <c r="A78" s="180">
        <v>67</v>
      </c>
      <c r="B78" s="178">
        <f t="shared" si="21"/>
        <v>0</v>
      </c>
      <c r="C78" s="178">
        <f t="shared" si="22"/>
        <v>0</v>
      </c>
      <c r="D78" s="178">
        <f t="shared" si="23"/>
        <v>0</v>
      </c>
      <c r="E78" s="178">
        <f t="shared" si="27"/>
        <v>0</v>
      </c>
      <c r="F78" s="178"/>
      <c r="G78" s="178"/>
      <c r="H78" s="178">
        <f t="shared" si="28"/>
        <v>0</v>
      </c>
      <c r="I78" s="178">
        <f t="shared" si="20"/>
        <v>38046948.931903295</v>
      </c>
      <c r="J78" s="178">
        <f t="shared" si="24"/>
        <v>0</v>
      </c>
      <c r="K78" s="178">
        <f t="shared" si="25"/>
        <v>0</v>
      </c>
      <c r="L78" s="178">
        <f t="shared" si="26"/>
        <v>0</v>
      </c>
    </row>
    <row r="79" spans="1:12">
      <c r="A79" s="180">
        <v>68</v>
      </c>
      <c r="B79" s="178">
        <f t="shared" si="21"/>
        <v>0</v>
      </c>
      <c r="C79" s="178">
        <f t="shared" si="22"/>
        <v>0</v>
      </c>
      <c r="D79" s="178">
        <f t="shared" si="23"/>
        <v>0</v>
      </c>
      <c r="E79" s="178">
        <f t="shared" si="27"/>
        <v>0</v>
      </c>
      <c r="F79" s="178"/>
      <c r="G79" s="178"/>
      <c r="H79" s="178">
        <f t="shared" si="28"/>
        <v>0</v>
      </c>
      <c r="I79" s="178">
        <f t="shared" si="20"/>
        <v>38046948.931903295</v>
      </c>
      <c r="J79" s="178">
        <f t="shared" si="24"/>
        <v>0</v>
      </c>
      <c r="K79" s="178">
        <f t="shared" si="25"/>
        <v>0</v>
      </c>
      <c r="L79" s="178">
        <f t="shared" si="26"/>
        <v>0</v>
      </c>
    </row>
    <row r="80" spans="1:12">
      <c r="A80" s="180">
        <v>69</v>
      </c>
      <c r="B80" s="178">
        <f t="shared" si="21"/>
        <v>0</v>
      </c>
      <c r="C80" s="178">
        <f t="shared" si="22"/>
        <v>0</v>
      </c>
      <c r="D80" s="178">
        <f t="shared" si="23"/>
        <v>0</v>
      </c>
      <c r="E80" s="178">
        <f t="shared" si="27"/>
        <v>0</v>
      </c>
      <c r="F80" s="178"/>
      <c r="G80" s="178"/>
      <c r="H80" s="178">
        <f t="shared" si="28"/>
        <v>0</v>
      </c>
      <c r="I80" s="178">
        <f t="shared" si="20"/>
        <v>38046948.931903295</v>
      </c>
      <c r="J80" s="178">
        <f t="shared" si="24"/>
        <v>0</v>
      </c>
      <c r="K80" s="178">
        <f t="shared" si="25"/>
        <v>0</v>
      </c>
      <c r="L80" s="178">
        <f t="shared" si="26"/>
        <v>0</v>
      </c>
    </row>
    <row r="81" spans="1:12">
      <c r="A81" s="180">
        <v>70</v>
      </c>
      <c r="B81" s="178">
        <f t="shared" si="21"/>
        <v>0</v>
      </c>
      <c r="C81" s="178">
        <f t="shared" si="22"/>
        <v>0</v>
      </c>
      <c r="D81" s="178">
        <f t="shared" si="23"/>
        <v>0</v>
      </c>
      <c r="E81" s="178">
        <f t="shared" si="27"/>
        <v>0</v>
      </c>
      <c r="F81" s="178"/>
      <c r="G81" s="178"/>
      <c r="H81" s="178">
        <f t="shared" si="28"/>
        <v>0</v>
      </c>
      <c r="I81" s="178">
        <f t="shared" si="20"/>
        <v>38046948.931903295</v>
      </c>
      <c r="J81" s="178">
        <f t="shared" si="24"/>
        <v>0</v>
      </c>
      <c r="K81" s="178">
        <f t="shared" si="25"/>
        <v>0</v>
      </c>
      <c r="L81" s="178">
        <f t="shared" si="26"/>
        <v>0</v>
      </c>
    </row>
    <row r="82" spans="1:12">
      <c r="A82" s="180">
        <v>71</v>
      </c>
      <c r="B82" s="178">
        <f t="shared" si="21"/>
        <v>0</v>
      </c>
      <c r="C82" s="178">
        <f t="shared" si="22"/>
        <v>0</v>
      </c>
      <c r="D82" s="178">
        <f t="shared" si="23"/>
        <v>0</v>
      </c>
      <c r="E82" s="178">
        <f t="shared" si="27"/>
        <v>0</v>
      </c>
      <c r="F82" s="178"/>
      <c r="G82" s="178"/>
      <c r="H82" s="178">
        <f t="shared" si="28"/>
        <v>0</v>
      </c>
      <c r="I82" s="178">
        <f t="shared" si="20"/>
        <v>38046948.931903295</v>
      </c>
      <c r="J82" s="178">
        <f t="shared" si="24"/>
        <v>0</v>
      </c>
      <c r="K82" s="178">
        <f t="shared" si="25"/>
        <v>0</v>
      </c>
      <c r="L82" s="178">
        <f t="shared" si="26"/>
        <v>0</v>
      </c>
    </row>
    <row r="83" spans="1:12">
      <c r="A83" s="180">
        <v>72</v>
      </c>
      <c r="B83" s="178">
        <f t="shared" si="21"/>
        <v>0</v>
      </c>
      <c r="C83" s="178">
        <f t="shared" si="22"/>
        <v>0</v>
      </c>
      <c r="D83" s="178">
        <f t="shared" si="23"/>
        <v>0</v>
      </c>
      <c r="E83" s="178">
        <f t="shared" si="27"/>
        <v>0</v>
      </c>
      <c r="F83" s="178"/>
      <c r="G83" s="178"/>
      <c r="H83" s="178">
        <f t="shared" si="28"/>
        <v>0</v>
      </c>
      <c r="I83" s="178">
        <f t="shared" si="20"/>
        <v>38046948.931903295</v>
      </c>
      <c r="J83" s="178">
        <f t="shared" si="24"/>
        <v>0</v>
      </c>
      <c r="K83" s="178">
        <f t="shared" si="25"/>
        <v>0</v>
      </c>
      <c r="L83" s="178">
        <f t="shared" si="26"/>
        <v>0</v>
      </c>
    </row>
    <row r="84" spans="1:12">
      <c r="A84" s="180">
        <v>73</v>
      </c>
      <c r="B84" s="178">
        <f t="shared" si="21"/>
        <v>0</v>
      </c>
      <c r="C84" s="178">
        <f t="shared" si="22"/>
        <v>0</v>
      </c>
      <c r="D84" s="178">
        <f t="shared" si="23"/>
        <v>0</v>
      </c>
      <c r="E84" s="178">
        <f t="shared" si="27"/>
        <v>0</v>
      </c>
      <c r="F84" s="178"/>
      <c r="G84" s="178"/>
      <c r="H84" s="178">
        <f t="shared" si="28"/>
        <v>0</v>
      </c>
      <c r="I84" s="178">
        <f t="shared" si="20"/>
        <v>38046948.931903295</v>
      </c>
      <c r="J84" s="178">
        <f t="shared" si="24"/>
        <v>0</v>
      </c>
      <c r="K84" s="178">
        <f t="shared" si="25"/>
        <v>0</v>
      </c>
      <c r="L84" s="178">
        <f t="shared" si="26"/>
        <v>0</v>
      </c>
    </row>
    <row r="85" spans="1:12">
      <c r="A85" s="180">
        <v>74</v>
      </c>
      <c r="B85" s="178">
        <f t="shared" si="21"/>
        <v>0</v>
      </c>
      <c r="C85" s="178">
        <f t="shared" si="22"/>
        <v>0</v>
      </c>
      <c r="D85" s="178">
        <f t="shared" si="23"/>
        <v>0</v>
      </c>
      <c r="E85" s="178">
        <f t="shared" si="27"/>
        <v>0</v>
      </c>
      <c r="F85" s="178"/>
      <c r="G85" s="178"/>
      <c r="H85" s="178">
        <f t="shared" si="28"/>
        <v>0</v>
      </c>
      <c r="I85" s="178">
        <f t="shared" si="20"/>
        <v>38046948.931903295</v>
      </c>
      <c r="J85" s="178">
        <f t="shared" si="24"/>
        <v>0</v>
      </c>
      <c r="K85" s="178">
        <f t="shared" si="25"/>
        <v>0</v>
      </c>
      <c r="L85" s="178">
        <f t="shared" si="26"/>
        <v>0</v>
      </c>
    </row>
    <row r="86" spans="1:12">
      <c r="A86" s="180">
        <v>75</v>
      </c>
      <c r="B86" s="178">
        <f t="shared" si="21"/>
        <v>0</v>
      </c>
      <c r="C86" s="178">
        <f t="shared" si="22"/>
        <v>0</v>
      </c>
      <c r="D86" s="178">
        <f t="shared" si="23"/>
        <v>0</v>
      </c>
      <c r="E86" s="178">
        <f t="shared" si="27"/>
        <v>0</v>
      </c>
      <c r="F86" s="178"/>
      <c r="G86" s="178"/>
      <c r="H86" s="178">
        <f t="shared" si="28"/>
        <v>0</v>
      </c>
      <c r="I86" s="178">
        <f t="shared" si="20"/>
        <v>38046948.931903295</v>
      </c>
      <c r="J86" s="178">
        <f t="shared" si="24"/>
        <v>0</v>
      </c>
      <c r="K86" s="178">
        <f t="shared" si="25"/>
        <v>0</v>
      </c>
      <c r="L86" s="178">
        <f t="shared" si="26"/>
        <v>0</v>
      </c>
    </row>
    <row r="87" spans="1:12">
      <c r="A87" s="180">
        <v>76</v>
      </c>
      <c r="B87" s="178">
        <f t="shared" si="21"/>
        <v>0</v>
      </c>
      <c r="C87" s="178">
        <f t="shared" si="22"/>
        <v>0</v>
      </c>
      <c r="D87" s="178">
        <f t="shared" si="23"/>
        <v>0</v>
      </c>
      <c r="E87" s="178">
        <f t="shared" si="27"/>
        <v>0</v>
      </c>
      <c r="F87" s="178"/>
      <c r="G87" s="178"/>
      <c r="H87" s="178">
        <f t="shared" si="28"/>
        <v>0</v>
      </c>
      <c r="I87" s="178">
        <f t="shared" si="20"/>
        <v>38046948.931903295</v>
      </c>
      <c r="J87" s="178">
        <f t="shared" si="24"/>
        <v>0</v>
      </c>
      <c r="K87" s="178">
        <f t="shared" si="25"/>
        <v>0</v>
      </c>
      <c r="L87" s="178">
        <f t="shared" si="26"/>
        <v>0</v>
      </c>
    </row>
    <row r="88" spans="1:12">
      <c r="A88" s="180">
        <v>77</v>
      </c>
      <c r="B88" s="178">
        <f t="shared" si="21"/>
        <v>0</v>
      </c>
      <c r="C88" s="178">
        <f t="shared" si="22"/>
        <v>0</v>
      </c>
      <c r="D88" s="178">
        <f t="shared" si="23"/>
        <v>0</v>
      </c>
      <c r="E88" s="178">
        <f t="shared" si="27"/>
        <v>0</v>
      </c>
      <c r="F88" s="178"/>
      <c r="G88" s="178"/>
      <c r="H88" s="178">
        <f t="shared" si="28"/>
        <v>0</v>
      </c>
      <c r="I88" s="178">
        <f t="shared" ref="I88:I119" si="29">I87-G88</f>
        <v>38046948.931903295</v>
      </c>
      <c r="J88" s="178">
        <f t="shared" si="24"/>
        <v>0</v>
      </c>
      <c r="K88" s="178">
        <f t="shared" si="25"/>
        <v>0</v>
      </c>
      <c r="L88" s="178">
        <f t="shared" si="26"/>
        <v>0</v>
      </c>
    </row>
    <row r="89" spans="1:12">
      <c r="A89" s="180">
        <v>78</v>
      </c>
      <c r="B89" s="178">
        <f t="shared" si="21"/>
        <v>0</v>
      </c>
      <c r="C89" s="178">
        <f t="shared" si="22"/>
        <v>0</v>
      </c>
      <c r="D89" s="178">
        <f t="shared" si="23"/>
        <v>0</v>
      </c>
      <c r="E89" s="178">
        <f t="shared" si="27"/>
        <v>0</v>
      </c>
      <c r="F89" s="178"/>
      <c r="G89" s="178"/>
      <c r="H89" s="178">
        <f t="shared" si="28"/>
        <v>0</v>
      </c>
      <c r="I89" s="178">
        <f t="shared" si="29"/>
        <v>38046948.931903295</v>
      </c>
      <c r="J89" s="178">
        <f t="shared" si="24"/>
        <v>0</v>
      </c>
      <c r="K89" s="178">
        <f t="shared" si="25"/>
        <v>0</v>
      </c>
      <c r="L89" s="178">
        <f t="shared" si="26"/>
        <v>0</v>
      </c>
    </row>
    <row r="90" spans="1:12">
      <c r="A90" s="180">
        <v>79</v>
      </c>
      <c r="B90" s="178">
        <f t="shared" si="21"/>
        <v>0</v>
      </c>
      <c r="C90" s="178">
        <f t="shared" si="22"/>
        <v>0</v>
      </c>
      <c r="D90" s="178">
        <f t="shared" si="23"/>
        <v>0</v>
      </c>
      <c r="E90" s="178">
        <f t="shared" si="27"/>
        <v>0</v>
      </c>
      <c r="F90" s="178"/>
      <c r="G90" s="178"/>
      <c r="H90" s="178">
        <f t="shared" si="28"/>
        <v>0</v>
      </c>
      <c r="I90" s="178">
        <f t="shared" si="29"/>
        <v>38046948.931903295</v>
      </c>
      <c r="J90" s="178">
        <f t="shared" si="24"/>
        <v>0</v>
      </c>
      <c r="K90" s="178">
        <f t="shared" si="25"/>
        <v>0</v>
      </c>
      <c r="L90" s="178">
        <f t="shared" si="26"/>
        <v>0</v>
      </c>
    </row>
    <row r="91" spans="1:12">
      <c r="A91" s="180">
        <v>80</v>
      </c>
      <c r="B91" s="178">
        <f t="shared" si="21"/>
        <v>0</v>
      </c>
      <c r="C91" s="178">
        <f t="shared" si="22"/>
        <v>0</v>
      </c>
      <c r="D91" s="178">
        <f t="shared" si="23"/>
        <v>0</v>
      </c>
      <c r="E91" s="178">
        <f t="shared" si="27"/>
        <v>0</v>
      </c>
      <c r="F91" s="178"/>
      <c r="G91" s="178"/>
      <c r="H91" s="178">
        <f t="shared" si="28"/>
        <v>0</v>
      </c>
      <c r="I91" s="178">
        <f t="shared" si="29"/>
        <v>38046948.931903295</v>
      </c>
      <c r="J91" s="178">
        <f t="shared" si="24"/>
        <v>0</v>
      </c>
      <c r="K91" s="178">
        <f t="shared" si="25"/>
        <v>0</v>
      </c>
      <c r="L91" s="178">
        <f t="shared" si="26"/>
        <v>0</v>
      </c>
    </row>
    <row r="92" spans="1:12">
      <c r="A92" s="180">
        <v>81</v>
      </c>
      <c r="B92" s="178">
        <f t="shared" si="21"/>
        <v>0</v>
      </c>
      <c r="C92" s="178">
        <f t="shared" si="22"/>
        <v>0</v>
      </c>
      <c r="D92" s="178">
        <f t="shared" si="23"/>
        <v>0</v>
      </c>
      <c r="E92" s="178">
        <f t="shared" si="27"/>
        <v>0</v>
      </c>
      <c r="F92" s="178"/>
      <c r="G92" s="178"/>
      <c r="H92" s="178">
        <f t="shared" si="28"/>
        <v>0</v>
      </c>
      <c r="I92" s="178">
        <f t="shared" si="29"/>
        <v>38046948.931903295</v>
      </c>
      <c r="J92" s="178">
        <f t="shared" si="24"/>
        <v>0</v>
      </c>
      <c r="K92" s="178">
        <f t="shared" si="25"/>
        <v>0</v>
      </c>
      <c r="L92" s="178">
        <f t="shared" si="26"/>
        <v>0</v>
      </c>
    </row>
    <row r="93" spans="1:12">
      <c r="A93" s="180">
        <v>82</v>
      </c>
      <c r="B93" s="178">
        <f t="shared" si="21"/>
        <v>0</v>
      </c>
      <c r="C93" s="178">
        <f t="shared" si="22"/>
        <v>0</v>
      </c>
      <c r="D93" s="178">
        <f t="shared" si="23"/>
        <v>0</v>
      </c>
      <c r="E93" s="178">
        <f t="shared" si="27"/>
        <v>0</v>
      </c>
      <c r="F93" s="178"/>
      <c r="G93" s="178"/>
      <c r="H93" s="178">
        <f t="shared" si="28"/>
        <v>0</v>
      </c>
      <c r="I93" s="178">
        <f t="shared" si="29"/>
        <v>38046948.931903295</v>
      </c>
      <c r="J93" s="178">
        <f t="shared" si="24"/>
        <v>0</v>
      </c>
      <c r="K93" s="178">
        <f t="shared" si="25"/>
        <v>0</v>
      </c>
      <c r="L93" s="178">
        <f t="shared" si="26"/>
        <v>0</v>
      </c>
    </row>
    <row r="94" spans="1:12">
      <c r="A94" s="180">
        <v>83</v>
      </c>
      <c r="B94" s="178">
        <f t="shared" si="21"/>
        <v>0</v>
      </c>
      <c r="C94" s="178">
        <f t="shared" si="22"/>
        <v>0</v>
      </c>
      <c r="D94" s="178">
        <f t="shared" si="23"/>
        <v>0</v>
      </c>
      <c r="E94" s="178">
        <f t="shared" si="27"/>
        <v>0</v>
      </c>
      <c r="F94" s="178"/>
      <c r="G94" s="178"/>
      <c r="H94" s="178">
        <f t="shared" si="28"/>
        <v>0</v>
      </c>
      <c r="I94" s="178">
        <f t="shared" si="29"/>
        <v>38046948.931903295</v>
      </c>
      <c r="J94" s="178">
        <f t="shared" si="24"/>
        <v>0</v>
      </c>
      <c r="K94" s="178">
        <f t="shared" si="25"/>
        <v>0</v>
      </c>
      <c r="L94" s="178">
        <f t="shared" si="26"/>
        <v>0</v>
      </c>
    </row>
    <row r="95" spans="1:12">
      <c r="A95" s="180">
        <v>84</v>
      </c>
      <c r="B95" s="178">
        <f t="shared" si="21"/>
        <v>0</v>
      </c>
      <c r="C95" s="178">
        <f t="shared" si="22"/>
        <v>0</v>
      </c>
      <c r="D95" s="178">
        <f t="shared" si="23"/>
        <v>0</v>
      </c>
      <c r="E95" s="178">
        <f t="shared" si="27"/>
        <v>0</v>
      </c>
      <c r="F95" s="178"/>
      <c r="G95" s="178"/>
      <c r="H95" s="178">
        <f t="shared" si="28"/>
        <v>0</v>
      </c>
      <c r="I95" s="178">
        <f t="shared" si="29"/>
        <v>38046948.931903295</v>
      </c>
      <c r="J95" s="178">
        <f t="shared" si="24"/>
        <v>0</v>
      </c>
      <c r="K95" s="178">
        <f t="shared" si="25"/>
        <v>0</v>
      </c>
      <c r="L95" s="178">
        <f t="shared" si="26"/>
        <v>0</v>
      </c>
    </row>
    <row r="96" spans="1:12">
      <c r="A96" s="180">
        <v>85</v>
      </c>
      <c r="B96" s="178">
        <f t="shared" si="21"/>
        <v>0</v>
      </c>
      <c r="C96" s="178">
        <f t="shared" si="22"/>
        <v>0</v>
      </c>
      <c r="D96" s="178">
        <f t="shared" si="23"/>
        <v>0</v>
      </c>
      <c r="E96" s="178">
        <f t="shared" si="27"/>
        <v>0</v>
      </c>
      <c r="F96" s="178"/>
      <c r="G96" s="178"/>
      <c r="H96" s="178">
        <f t="shared" si="28"/>
        <v>0</v>
      </c>
      <c r="I96" s="178">
        <f t="shared" si="29"/>
        <v>38046948.931903295</v>
      </c>
      <c r="J96" s="178">
        <f t="shared" si="24"/>
        <v>0</v>
      </c>
      <c r="K96" s="178">
        <f t="shared" si="25"/>
        <v>0</v>
      </c>
      <c r="L96" s="178">
        <f t="shared" si="26"/>
        <v>0</v>
      </c>
    </row>
    <row r="97" spans="1:12">
      <c r="A97" s="180">
        <v>86</v>
      </c>
      <c r="B97" s="178">
        <f t="shared" si="21"/>
        <v>0</v>
      </c>
      <c r="C97" s="178">
        <f t="shared" si="22"/>
        <v>0</v>
      </c>
      <c r="D97" s="178">
        <f t="shared" si="23"/>
        <v>0</v>
      </c>
      <c r="E97" s="178">
        <f t="shared" si="27"/>
        <v>0</v>
      </c>
      <c r="F97" s="178"/>
      <c r="G97" s="178"/>
      <c r="H97" s="178">
        <f t="shared" si="28"/>
        <v>0</v>
      </c>
      <c r="I97" s="178">
        <f t="shared" si="29"/>
        <v>38046948.931903295</v>
      </c>
      <c r="J97" s="178">
        <f t="shared" si="24"/>
        <v>0</v>
      </c>
      <c r="K97" s="178">
        <f t="shared" si="25"/>
        <v>0</v>
      </c>
      <c r="L97" s="178">
        <f t="shared" si="26"/>
        <v>0</v>
      </c>
    </row>
    <row r="98" spans="1:12">
      <c r="A98" s="180">
        <v>87</v>
      </c>
      <c r="B98" s="178">
        <f t="shared" si="21"/>
        <v>0</v>
      </c>
      <c r="C98" s="178">
        <f t="shared" si="22"/>
        <v>0</v>
      </c>
      <c r="D98" s="178">
        <f t="shared" si="23"/>
        <v>0</v>
      </c>
      <c r="E98" s="178">
        <f t="shared" si="27"/>
        <v>0</v>
      </c>
      <c r="F98" s="178"/>
      <c r="G98" s="178"/>
      <c r="H98" s="178">
        <f t="shared" si="28"/>
        <v>0</v>
      </c>
      <c r="I98" s="178">
        <f t="shared" si="29"/>
        <v>38046948.931903295</v>
      </c>
      <c r="J98" s="178">
        <f t="shared" si="24"/>
        <v>0</v>
      </c>
      <c r="K98" s="178">
        <f t="shared" si="25"/>
        <v>0</v>
      </c>
      <c r="L98" s="178">
        <f t="shared" si="26"/>
        <v>0</v>
      </c>
    </row>
    <row r="99" spans="1:12">
      <c r="A99" s="180">
        <v>88</v>
      </c>
      <c r="B99" s="178">
        <f t="shared" si="21"/>
        <v>0</v>
      </c>
      <c r="C99" s="178">
        <f t="shared" si="22"/>
        <v>0</v>
      </c>
      <c r="D99" s="178">
        <f t="shared" si="23"/>
        <v>0</v>
      </c>
      <c r="E99" s="178">
        <f t="shared" si="27"/>
        <v>0</v>
      </c>
      <c r="F99" s="178"/>
      <c r="G99" s="178"/>
      <c r="H99" s="178">
        <f t="shared" si="28"/>
        <v>0</v>
      </c>
      <c r="I99" s="178">
        <f t="shared" si="29"/>
        <v>38046948.931903295</v>
      </c>
      <c r="J99" s="178">
        <f t="shared" si="24"/>
        <v>0</v>
      </c>
      <c r="K99" s="178">
        <f t="shared" si="25"/>
        <v>0</v>
      </c>
      <c r="L99" s="178">
        <f t="shared" si="26"/>
        <v>0</v>
      </c>
    </row>
    <row r="100" spans="1:12">
      <c r="A100" s="180">
        <v>89</v>
      </c>
      <c r="B100" s="178">
        <f t="shared" ref="B100:B132" si="30">E99*($G$3/12)</f>
        <v>0</v>
      </c>
      <c r="C100" s="178">
        <f t="shared" ref="C100:C131" si="31">$E$11/96</f>
        <v>0</v>
      </c>
      <c r="D100" s="178">
        <f t="shared" si="23"/>
        <v>0</v>
      </c>
      <c r="E100" s="178">
        <f t="shared" si="27"/>
        <v>0</v>
      </c>
      <c r="F100" s="178"/>
      <c r="G100" s="178"/>
      <c r="H100" s="178">
        <f t="shared" si="28"/>
        <v>0</v>
      </c>
      <c r="I100" s="178">
        <f t="shared" si="29"/>
        <v>38046948.931903295</v>
      </c>
      <c r="J100" s="178">
        <f t="shared" si="24"/>
        <v>0</v>
      </c>
      <c r="K100" s="178">
        <f t="shared" si="25"/>
        <v>0</v>
      </c>
      <c r="L100" s="178">
        <f t="shared" si="26"/>
        <v>0</v>
      </c>
    </row>
    <row r="101" spans="1:12">
      <c r="A101" s="180">
        <v>90</v>
      </c>
      <c r="B101" s="178">
        <f t="shared" si="30"/>
        <v>0</v>
      </c>
      <c r="C101" s="178">
        <f t="shared" si="31"/>
        <v>0</v>
      </c>
      <c r="D101" s="178">
        <f t="shared" si="23"/>
        <v>0</v>
      </c>
      <c r="E101" s="178">
        <f t="shared" si="27"/>
        <v>0</v>
      </c>
      <c r="F101" s="178"/>
      <c r="G101" s="178"/>
      <c r="H101" s="178">
        <f t="shared" si="28"/>
        <v>0</v>
      </c>
      <c r="I101" s="178">
        <f t="shared" si="29"/>
        <v>38046948.931903295</v>
      </c>
      <c r="J101" s="178">
        <f t="shared" si="24"/>
        <v>0</v>
      </c>
      <c r="K101" s="178">
        <f t="shared" si="25"/>
        <v>0</v>
      </c>
      <c r="L101" s="178">
        <f t="shared" si="26"/>
        <v>0</v>
      </c>
    </row>
    <row r="102" spans="1:12">
      <c r="A102" s="180">
        <v>91</v>
      </c>
      <c r="B102" s="178">
        <f t="shared" si="30"/>
        <v>0</v>
      </c>
      <c r="C102" s="178">
        <f t="shared" si="31"/>
        <v>0</v>
      </c>
      <c r="D102" s="178">
        <f t="shared" si="23"/>
        <v>0</v>
      </c>
      <c r="E102" s="178">
        <f t="shared" si="27"/>
        <v>0</v>
      </c>
      <c r="F102" s="178"/>
      <c r="G102" s="178"/>
      <c r="H102" s="178">
        <f t="shared" si="28"/>
        <v>0</v>
      </c>
      <c r="I102" s="178">
        <f t="shared" si="29"/>
        <v>38046948.931903295</v>
      </c>
      <c r="J102" s="178">
        <f t="shared" si="24"/>
        <v>0</v>
      </c>
      <c r="K102" s="178">
        <f t="shared" si="25"/>
        <v>0</v>
      </c>
      <c r="L102" s="178">
        <f t="shared" si="26"/>
        <v>0</v>
      </c>
    </row>
    <row r="103" spans="1:12">
      <c r="A103" s="180">
        <v>92</v>
      </c>
      <c r="B103" s="178">
        <f t="shared" si="30"/>
        <v>0</v>
      </c>
      <c r="C103" s="178">
        <f t="shared" si="31"/>
        <v>0</v>
      </c>
      <c r="D103" s="178">
        <f t="shared" si="23"/>
        <v>0</v>
      </c>
      <c r="E103" s="178">
        <f t="shared" si="27"/>
        <v>0</v>
      </c>
      <c r="F103" s="178"/>
      <c r="G103" s="178"/>
      <c r="H103" s="178">
        <f t="shared" si="28"/>
        <v>0</v>
      </c>
      <c r="I103" s="178">
        <f t="shared" si="29"/>
        <v>38046948.931903295</v>
      </c>
      <c r="J103" s="178">
        <f t="shared" si="24"/>
        <v>0</v>
      </c>
      <c r="K103" s="178">
        <f t="shared" si="25"/>
        <v>0</v>
      </c>
      <c r="L103" s="178">
        <f t="shared" si="26"/>
        <v>0</v>
      </c>
    </row>
    <row r="104" spans="1:12">
      <c r="A104" s="180">
        <v>93</v>
      </c>
      <c r="B104" s="178">
        <f t="shared" si="30"/>
        <v>0</v>
      </c>
      <c r="C104" s="178">
        <f t="shared" si="31"/>
        <v>0</v>
      </c>
      <c r="D104" s="178">
        <f t="shared" si="23"/>
        <v>0</v>
      </c>
      <c r="E104" s="178">
        <f t="shared" si="27"/>
        <v>0</v>
      </c>
      <c r="F104" s="178"/>
      <c r="G104" s="178"/>
      <c r="H104" s="178">
        <f t="shared" si="28"/>
        <v>0</v>
      </c>
      <c r="I104" s="178">
        <f t="shared" si="29"/>
        <v>38046948.931903295</v>
      </c>
      <c r="J104" s="178">
        <f t="shared" si="24"/>
        <v>0</v>
      </c>
      <c r="K104" s="178">
        <f t="shared" si="25"/>
        <v>0</v>
      </c>
      <c r="L104" s="178">
        <f t="shared" si="26"/>
        <v>0</v>
      </c>
    </row>
    <row r="105" spans="1:12">
      <c r="A105" s="180">
        <v>94</v>
      </c>
      <c r="B105" s="178">
        <f t="shared" si="30"/>
        <v>0</v>
      </c>
      <c r="C105" s="178">
        <f t="shared" si="31"/>
        <v>0</v>
      </c>
      <c r="D105" s="178">
        <f t="shared" si="23"/>
        <v>0</v>
      </c>
      <c r="E105" s="178">
        <f t="shared" si="27"/>
        <v>0</v>
      </c>
      <c r="F105" s="178"/>
      <c r="G105" s="178"/>
      <c r="H105" s="178">
        <f t="shared" si="28"/>
        <v>0</v>
      </c>
      <c r="I105" s="178">
        <f t="shared" si="29"/>
        <v>38046948.931903295</v>
      </c>
      <c r="J105" s="178">
        <f t="shared" si="24"/>
        <v>0</v>
      </c>
      <c r="K105" s="178">
        <f t="shared" si="25"/>
        <v>0</v>
      </c>
      <c r="L105" s="178">
        <f t="shared" si="26"/>
        <v>0</v>
      </c>
    </row>
    <row r="106" spans="1:12">
      <c r="A106" s="180">
        <v>95</v>
      </c>
      <c r="B106" s="178">
        <f t="shared" si="30"/>
        <v>0</v>
      </c>
      <c r="C106" s="178">
        <f t="shared" si="31"/>
        <v>0</v>
      </c>
      <c r="D106" s="178">
        <f t="shared" si="23"/>
        <v>0</v>
      </c>
      <c r="E106" s="178">
        <f t="shared" si="27"/>
        <v>0</v>
      </c>
      <c r="F106" s="178"/>
      <c r="G106" s="178"/>
      <c r="H106" s="178">
        <f t="shared" si="28"/>
        <v>0</v>
      </c>
      <c r="I106" s="178">
        <f t="shared" si="29"/>
        <v>38046948.931903295</v>
      </c>
      <c r="J106" s="178">
        <f t="shared" si="24"/>
        <v>0</v>
      </c>
      <c r="K106" s="178">
        <f t="shared" si="25"/>
        <v>0</v>
      </c>
      <c r="L106" s="178">
        <f t="shared" si="26"/>
        <v>0</v>
      </c>
    </row>
    <row r="107" spans="1:12">
      <c r="A107" s="180">
        <v>96</v>
      </c>
      <c r="B107" s="178">
        <f t="shared" si="30"/>
        <v>0</v>
      </c>
      <c r="C107" s="178">
        <f t="shared" si="31"/>
        <v>0</v>
      </c>
      <c r="D107" s="178">
        <f t="shared" ref="D107:D138" si="32">B107+C107</f>
        <v>0</v>
      </c>
      <c r="E107" s="178">
        <f t="shared" si="27"/>
        <v>0</v>
      </c>
      <c r="F107" s="178"/>
      <c r="G107" s="178"/>
      <c r="H107" s="178">
        <f t="shared" si="28"/>
        <v>0</v>
      </c>
      <c r="I107" s="178">
        <f t="shared" si="29"/>
        <v>38046948.931903295</v>
      </c>
      <c r="J107" s="178">
        <f t="shared" ref="J107:J143" si="33">D107+H107</f>
        <v>0</v>
      </c>
      <c r="K107" s="178">
        <f t="shared" ref="K107:K143" si="34">B107+F107</f>
        <v>0</v>
      </c>
      <c r="L107" s="178">
        <f t="shared" ref="L107:L143" si="35">C107+G107</f>
        <v>0</v>
      </c>
    </row>
    <row r="108" spans="1:12">
      <c r="A108" s="180">
        <v>97</v>
      </c>
      <c r="B108" s="178">
        <f t="shared" si="30"/>
        <v>0</v>
      </c>
      <c r="C108" s="178">
        <f t="shared" si="31"/>
        <v>0</v>
      </c>
      <c r="D108" s="178">
        <f t="shared" si="32"/>
        <v>0</v>
      </c>
      <c r="E108" s="178">
        <f t="shared" ref="E108:E143" si="36">E107-C108</f>
        <v>0</v>
      </c>
      <c r="F108" s="178"/>
      <c r="G108" s="178"/>
      <c r="H108" s="178">
        <f t="shared" ref="H108:H139" si="37">F108+G108</f>
        <v>0</v>
      </c>
      <c r="I108" s="178">
        <f t="shared" si="29"/>
        <v>38046948.931903295</v>
      </c>
      <c r="J108" s="178">
        <f t="shared" si="33"/>
        <v>0</v>
      </c>
      <c r="K108" s="178">
        <f t="shared" si="34"/>
        <v>0</v>
      </c>
      <c r="L108" s="178">
        <f t="shared" si="35"/>
        <v>0</v>
      </c>
    </row>
    <row r="109" spans="1:12">
      <c r="A109" s="180">
        <v>98</v>
      </c>
      <c r="B109" s="178">
        <f t="shared" si="30"/>
        <v>0</v>
      </c>
      <c r="C109" s="178">
        <f t="shared" si="31"/>
        <v>0</v>
      </c>
      <c r="D109" s="178">
        <f t="shared" si="32"/>
        <v>0</v>
      </c>
      <c r="E109" s="178">
        <f t="shared" si="36"/>
        <v>0</v>
      </c>
      <c r="F109" s="178"/>
      <c r="G109" s="178"/>
      <c r="H109" s="178">
        <f t="shared" si="37"/>
        <v>0</v>
      </c>
      <c r="I109" s="178">
        <f t="shared" si="29"/>
        <v>38046948.931903295</v>
      </c>
      <c r="J109" s="178">
        <f t="shared" si="33"/>
        <v>0</v>
      </c>
      <c r="K109" s="178">
        <f t="shared" si="34"/>
        <v>0</v>
      </c>
      <c r="L109" s="178">
        <f t="shared" si="35"/>
        <v>0</v>
      </c>
    </row>
    <row r="110" spans="1:12">
      <c r="A110" s="180">
        <v>99</v>
      </c>
      <c r="B110" s="178">
        <f t="shared" si="30"/>
        <v>0</v>
      </c>
      <c r="C110" s="178">
        <f t="shared" si="31"/>
        <v>0</v>
      </c>
      <c r="D110" s="178">
        <f t="shared" si="32"/>
        <v>0</v>
      </c>
      <c r="E110" s="178">
        <f t="shared" si="36"/>
        <v>0</v>
      </c>
      <c r="F110" s="178"/>
      <c r="G110" s="178"/>
      <c r="H110" s="178">
        <f t="shared" si="37"/>
        <v>0</v>
      </c>
      <c r="I110" s="178">
        <f t="shared" si="29"/>
        <v>38046948.931903295</v>
      </c>
      <c r="J110" s="178">
        <f t="shared" si="33"/>
        <v>0</v>
      </c>
      <c r="K110" s="178">
        <f t="shared" si="34"/>
        <v>0</v>
      </c>
      <c r="L110" s="178">
        <f t="shared" si="35"/>
        <v>0</v>
      </c>
    </row>
    <row r="111" spans="1:12">
      <c r="A111" s="180">
        <v>100</v>
      </c>
      <c r="B111" s="178">
        <f t="shared" si="30"/>
        <v>0</v>
      </c>
      <c r="C111" s="178">
        <f t="shared" si="31"/>
        <v>0</v>
      </c>
      <c r="D111" s="178">
        <f t="shared" si="32"/>
        <v>0</v>
      </c>
      <c r="E111" s="178">
        <f t="shared" si="36"/>
        <v>0</v>
      </c>
      <c r="F111" s="178"/>
      <c r="G111" s="178"/>
      <c r="H111" s="178">
        <f t="shared" si="37"/>
        <v>0</v>
      </c>
      <c r="I111" s="178">
        <f t="shared" si="29"/>
        <v>38046948.931903295</v>
      </c>
      <c r="J111" s="178">
        <f t="shared" si="33"/>
        <v>0</v>
      </c>
      <c r="K111" s="178">
        <f t="shared" si="34"/>
        <v>0</v>
      </c>
      <c r="L111" s="178">
        <f t="shared" si="35"/>
        <v>0</v>
      </c>
    </row>
    <row r="112" spans="1:12">
      <c r="A112" s="180">
        <v>101</v>
      </c>
      <c r="B112" s="178">
        <f t="shared" si="30"/>
        <v>0</v>
      </c>
      <c r="C112" s="178">
        <f t="shared" si="31"/>
        <v>0</v>
      </c>
      <c r="D112" s="178">
        <f t="shared" si="32"/>
        <v>0</v>
      </c>
      <c r="E112" s="178">
        <f t="shared" si="36"/>
        <v>0</v>
      </c>
      <c r="F112" s="178"/>
      <c r="G112" s="178"/>
      <c r="H112" s="178">
        <f t="shared" si="37"/>
        <v>0</v>
      </c>
      <c r="I112" s="178">
        <f t="shared" si="29"/>
        <v>38046948.931903295</v>
      </c>
      <c r="J112" s="178">
        <f t="shared" si="33"/>
        <v>0</v>
      </c>
      <c r="K112" s="178">
        <f t="shared" si="34"/>
        <v>0</v>
      </c>
      <c r="L112" s="178">
        <f t="shared" si="35"/>
        <v>0</v>
      </c>
    </row>
    <row r="113" spans="1:12">
      <c r="A113" s="180">
        <v>102</v>
      </c>
      <c r="B113" s="178">
        <f t="shared" si="30"/>
        <v>0</v>
      </c>
      <c r="C113" s="178">
        <f t="shared" si="31"/>
        <v>0</v>
      </c>
      <c r="D113" s="178">
        <f t="shared" si="32"/>
        <v>0</v>
      </c>
      <c r="E113" s="178">
        <f t="shared" si="36"/>
        <v>0</v>
      </c>
      <c r="F113" s="178"/>
      <c r="G113" s="178"/>
      <c r="H113" s="178">
        <f t="shared" si="37"/>
        <v>0</v>
      </c>
      <c r="I113" s="178">
        <f t="shared" si="29"/>
        <v>38046948.931903295</v>
      </c>
      <c r="J113" s="178">
        <f t="shared" si="33"/>
        <v>0</v>
      </c>
      <c r="K113" s="178">
        <f t="shared" si="34"/>
        <v>0</v>
      </c>
      <c r="L113" s="178">
        <f t="shared" si="35"/>
        <v>0</v>
      </c>
    </row>
    <row r="114" spans="1:12">
      <c r="A114" s="180">
        <v>103</v>
      </c>
      <c r="B114" s="178">
        <f t="shared" si="30"/>
        <v>0</v>
      </c>
      <c r="C114" s="178">
        <f t="shared" si="31"/>
        <v>0</v>
      </c>
      <c r="D114" s="178">
        <f t="shared" si="32"/>
        <v>0</v>
      </c>
      <c r="E114" s="178">
        <f t="shared" si="36"/>
        <v>0</v>
      </c>
      <c r="F114" s="178"/>
      <c r="G114" s="178"/>
      <c r="H114" s="178">
        <f t="shared" si="37"/>
        <v>0</v>
      </c>
      <c r="I114" s="178">
        <f t="shared" si="29"/>
        <v>38046948.931903295</v>
      </c>
      <c r="J114" s="178">
        <f t="shared" si="33"/>
        <v>0</v>
      </c>
      <c r="K114" s="178">
        <f t="shared" si="34"/>
        <v>0</v>
      </c>
      <c r="L114" s="178">
        <f t="shared" si="35"/>
        <v>0</v>
      </c>
    </row>
    <row r="115" spans="1:12">
      <c r="A115" s="180">
        <v>104</v>
      </c>
      <c r="B115" s="178">
        <f t="shared" si="30"/>
        <v>0</v>
      </c>
      <c r="C115" s="178">
        <f t="shared" si="31"/>
        <v>0</v>
      </c>
      <c r="D115" s="178">
        <f t="shared" si="32"/>
        <v>0</v>
      </c>
      <c r="E115" s="178">
        <f t="shared" si="36"/>
        <v>0</v>
      </c>
      <c r="F115" s="178"/>
      <c r="G115" s="178"/>
      <c r="H115" s="178">
        <f t="shared" si="37"/>
        <v>0</v>
      </c>
      <c r="I115" s="178">
        <f t="shared" si="29"/>
        <v>38046948.931903295</v>
      </c>
      <c r="J115" s="178">
        <f t="shared" si="33"/>
        <v>0</v>
      </c>
      <c r="K115" s="178">
        <f t="shared" si="34"/>
        <v>0</v>
      </c>
      <c r="L115" s="178">
        <f t="shared" si="35"/>
        <v>0</v>
      </c>
    </row>
    <row r="116" spans="1:12">
      <c r="A116" s="180">
        <v>105</v>
      </c>
      <c r="B116" s="178">
        <f t="shared" si="30"/>
        <v>0</v>
      </c>
      <c r="C116" s="178">
        <f t="shared" si="31"/>
        <v>0</v>
      </c>
      <c r="D116" s="178">
        <f t="shared" si="32"/>
        <v>0</v>
      </c>
      <c r="E116" s="178">
        <f t="shared" si="36"/>
        <v>0</v>
      </c>
      <c r="F116" s="178"/>
      <c r="G116" s="178"/>
      <c r="H116" s="178">
        <f t="shared" si="37"/>
        <v>0</v>
      </c>
      <c r="I116" s="178">
        <f t="shared" si="29"/>
        <v>38046948.931903295</v>
      </c>
      <c r="J116" s="178">
        <f t="shared" si="33"/>
        <v>0</v>
      </c>
      <c r="K116" s="178">
        <f t="shared" si="34"/>
        <v>0</v>
      </c>
      <c r="L116" s="178">
        <f t="shared" si="35"/>
        <v>0</v>
      </c>
    </row>
    <row r="117" spans="1:12">
      <c r="A117" s="180">
        <v>106</v>
      </c>
      <c r="B117" s="178">
        <f t="shared" si="30"/>
        <v>0</v>
      </c>
      <c r="C117" s="178">
        <f t="shared" si="31"/>
        <v>0</v>
      </c>
      <c r="D117" s="178">
        <f t="shared" si="32"/>
        <v>0</v>
      </c>
      <c r="E117" s="178">
        <f t="shared" si="36"/>
        <v>0</v>
      </c>
      <c r="F117" s="178"/>
      <c r="G117" s="178"/>
      <c r="H117" s="178">
        <f t="shared" si="37"/>
        <v>0</v>
      </c>
      <c r="I117" s="178">
        <f t="shared" si="29"/>
        <v>38046948.931903295</v>
      </c>
      <c r="J117" s="178">
        <f t="shared" si="33"/>
        <v>0</v>
      </c>
      <c r="K117" s="178">
        <f t="shared" si="34"/>
        <v>0</v>
      </c>
      <c r="L117" s="178">
        <f t="shared" si="35"/>
        <v>0</v>
      </c>
    </row>
    <row r="118" spans="1:12">
      <c r="A118" s="180">
        <v>107</v>
      </c>
      <c r="B118" s="178">
        <f t="shared" si="30"/>
        <v>0</v>
      </c>
      <c r="C118" s="178">
        <f t="shared" si="31"/>
        <v>0</v>
      </c>
      <c r="D118" s="178">
        <f t="shared" si="32"/>
        <v>0</v>
      </c>
      <c r="E118" s="178">
        <f t="shared" si="36"/>
        <v>0</v>
      </c>
      <c r="F118" s="178"/>
      <c r="G118" s="178"/>
      <c r="H118" s="178">
        <f t="shared" si="37"/>
        <v>0</v>
      </c>
      <c r="I118" s="178">
        <f t="shared" si="29"/>
        <v>38046948.931903295</v>
      </c>
      <c r="J118" s="178">
        <f t="shared" si="33"/>
        <v>0</v>
      </c>
      <c r="K118" s="178">
        <f t="shared" si="34"/>
        <v>0</v>
      </c>
      <c r="L118" s="178">
        <f t="shared" si="35"/>
        <v>0</v>
      </c>
    </row>
    <row r="119" spans="1:12">
      <c r="A119" s="180">
        <v>108</v>
      </c>
      <c r="B119" s="178">
        <f t="shared" si="30"/>
        <v>0</v>
      </c>
      <c r="C119" s="178">
        <f t="shared" si="31"/>
        <v>0</v>
      </c>
      <c r="D119" s="178">
        <f t="shared" si="32"/>
        <v>0</v>
      </c>
      <c r="E119" s="178">
        <f t="shared" si="36"/>
        <v>0</v>
      </c>
      <c r="F119" s="178"/>
      <c r="G119" s="178"/>
      <c r="H119" s="178">
        <f t="shared" si="37"/>
        <v>0</v>
      </c>
      <c r="I119" s="178">
        <f t="shared" si="29"/>
        <v>38046948.931903295</v>
      </c>
      <c r="J119" s="178">
        <f t="shared" si="33"/>
        <v>0</v>
      </c>
      <c r="K119" s="178">
        <f t="shared" si="34"/>
        <v>0</v>
      </c>
      <c r="L119" s="178">
        <f t="shared" si="35"/>
        <v>0</v>
      </c>
    </row>
    <row r="120" spans="1:12">
      <c r="A120" s="180">
        <v>109</v>
      </c>
      <c r="B120" s="178">
        <f t="shared" si="30"/>
        <v>0</v>
      </c>
      <c r="C120" s="178">
        <f t="shared" si="31"/>
        <v>0</v>
      </c>
      <c r="D120" s="178">
        <f t="shared" si="32"/>
        <v>0</v>
      </c>
      <c r="E120" s="178">
        <f t="shared" si="36"/>
        <v>0</v>
      </c>
      <c r="F120" s="178"/>
      <c r="G120" s="178"/>
      <c r="H120" s="178">
        <f t="shared" si="37"/>
        <v>0</v>
      </c>
      <c r="I120" s="178">
        <f t="shared" ref="I120:I143" si="38">I119-G120</f>
        <v>38046948.931903295</v>
      </c>
      <c r="J120" s="178">
        <f t="shared" si="33"/>
        <v>0</v>
      </c>
      <c r="K120" s="178">
        <f t="shared" si="34"/>
        <v>0</v>
      </c>
      <c r="L120" s="178">
        <f t="shared" si="35"/>
        <v>0</v>
      </c>
    </row>
    <row r="121" spans="1:12">
      <c r="A121" s="180">
        <v>110</v>
      </c>
      <c r="B121" s="178">
        <f t="shared" si="30"/>
        <v>0</v>
      </c>
      <c r="C121" s="178">
        <f t="shared" si="31"/>
        <v>0</v>
      </c>
      <c r="D121" s="178">
        <f t="shared" si="32"/>
        <v>0</v>
      </c>
      <c r="E121" s="178">
        <f t="shared" si="36"/>
        <v>0</v>
      </c>
      <c r="F121" s="178"/>
      <c r="G121" s="178"/>
      <c r="H121" s="178">
        <f t="shared" si="37"/>
        <v>0</v>
      </c>
      <c r="I121" s="178">
        <f t="shared" si="38"/>
        <v>38046948.931903295</v>
      </c>
      <c r="J121" s="178">
        <f t="shared" si="33"/>
        <v>0</v>
      </c>
      <c r="K121" s="178">
        <f t="shared" si="34"/>
        <v>0</v>
      </c>
      <c r="L121" s="178">
        <f t="shared" si="35"/>
        <v>0</v>
      </c>
    </row>
    <row r="122" spans="1:12">
      <c r="A122" s="180">
        <v>111</v>
      </c>
      <c r="B122" s="178">
        <f t="shared" si="30"/>
        <v>0</v>
      </c>
      <c r="C122" s="178">
        <f t="shared" si="31"/>
        <v>0</v>
      </c>
      <c r="D122" s="178">
        <f t="shared" si="32"/>
        <v>0</v>
      </c>
      <c r="E122" s="178">
        <f t="shared" si="36"/>
        <v>0</v>
      </c>
      <c r="F122" s="178"/>
      <c r="G122" s="178"/>
      <c r="H122" s="178">
        <f t="shared" si="37"/>
        <v>0</v>
      </c>
      <c r="I122" s="178">
        <f t="shared" si="38"/>
        <v>38046948.931903295</v>
      </c>
      <c r="J122" s="178">
        <f t="shared" si="33"/>
        <v>0</v>
      </c>
      <c r="K122" s="178">
        <f t="shared" si="34"/>
        <v>0</v>
      </c>
      <c r="L122" s="178">
        <f t="shared" si="35"/>
        <v>0</v>
      </c>
    </row>
    <row r="123" spans="1:12">
      <c r="A123" s="180">
        <v>112</v>
      </c>
      <c r="B123" s="178">
        <f t="shared" si="30"/>
        <v>0</v>
      </c>
      <c r="C123" s="178">
        <f t="shared" si="31"/>
        <v>0</v>
      </c>
      <c r="D123" s="178">
        <f t="shared" si="32"/>
        <v>0</v>
      </c>
      <c r="E123" s="178">
        <f t="shared" si="36"/>
        <v>0</v>
      </c>
      <c r="F123" s="178"/>
      <c r="G123" s="178"/>
      <c r="H123" s="178">
        <f t="shared" si="37"/>
        <v>0</v>
      </c>
      <c r="I123" s="178">
        <f t="shared" si="38"/>
        <v>38046948.931903295</v>
      </c>
      <c r="J123" s="178">
        <f t="shared" si="33"/>
        <v>0</v>
      </c>
      <c r="K123" s="178">
        <f t="shared" si="34"/>
        <v>0</v>
      </c>
      <c r="L123" s="178">
        <f t="shared" si="35"/>
        <v>0</v>
      </c>
    </row>
    <row r="124" spans="1:12">
      <c r="A124" s="180">
        <v>113</v>
      </c>
      <c r="B124" s="178">
        <f t="shared" si="30"/>
        <v>0</v>
      </c>
      <c r="C124" s="178">
        <f t="shared" si="31"/>
        <v>0</v>
      </c>
      <c r="D124" s="178">
        <f t="shared" si="32"/>
        <v>0</v>
      </c>
      <c r="E124" s="178">
        <f t="shared" si="36"/>
        <v>0</v>
      </c>
      <c r="F124" s="178"/>
      <c r="G124" s="178"/>
      <c r="H124" s="178">
        <f t="shared" si="37"/>
        <v>0</v>
      </c>
      <c r="I124" s="178">
        <f t="shared" si="38"/>
        <v>38046948.931903295</v>
      </c>
      <c r="J124" s="178">
        <f t="shared" si="33"/>
        <v>0</v>
      </c>
      <c r="K124" s="178">
        <f t="shared" si="34"/>
        <v>0</v>
      </c>
      <c r="L124" s="178">
        <f t="shared" si="35"/>
        <v>0</v>
      </c>
    </row>
    <row r="125" spans="1:12">
      <c r="A125" s="180">
        <v>114</v>
      </c>
      <c r="B125" s="178">
        <f t="shared" si="30"/>
        <v>0</v>
      </c>
      <c r="C125" s="178">
        <f t="shared" si="31"/>
        <v>0</v>
      </c>
      <c r="D125" s="178">
        <f t="shared" si="32"/>
        <v>0</v>
      </c>
      <c r="E125" s="178">
        <f t="shared" si="36"/>
        <v>0</v>
      </c>
      <c r="F125" s="178"/>
      <c r="G125" s="178"/>
      <c r="H125" s="178">
        <f t="shared" si="37"/>
        <v>0</v>
      </c>
      <c r="I125" s="178">
        <f t="shared" si="38"/>
        <v>38046948.931903295</v>
      </c>
      <c r="J125" s="178">
        <f t="shared" si="33"/>
        <v>0</v>
      </c>
      <c r="K125" s="178">
        <f t="shared" si="34"/>
        <v>0</v>
      </c>
      <c r="L125" s="178">
        <f t="shared" si="35"/>
        <v>0</v>
      </c>
    </row>
    <row r="126" spans="1:12">
      <c r="A126" s="180">
        <v>115</v>
      </c>
      <c r="B126" s="178">
        <f t="shared" si="30"/>
        <v>0</v>
      </c>
      <c r="C126" s="178">
        <f t="shared" si="31"/>
        <v>0</v>
      </c>
      <c r="D126" s="178">
        <f t="shared" si="32"/>
        <v>0</v>
      </c>
      <c r="E126" s="178">
        <f t="shared" si="36"/>
        <v>0</v>
      </c>
      <c r="F126" s="178"/>
      <c r="G126" s="178"/>
      <c r="H126" s="178">
        <f t="shared" si="37"/>
        <v>0</v>
      </c>
      <c r="I126" s="178">
        <f t="shared" si="38"/>
        <v>38046948.931903295</v>
      </c>
      <c r="J126" s="178">
        <f t="shared" si="33"/>
        <v>0</v>
      </c>
      <c r="K126" s="178">
        <f t="shared" si="34"/>
        <v>0</v>
      </c>
      <c r="L126" s="178">
        <f t="shared" si="35"/>
        <v>0</v>
      </c>
    </row>
    <row r="127" spans="1:12">
      <c r="A127" s="180">
        <v>116</v>
      </c>
      <c r="B127" s="178">
        <f t="shared" si="30"/>
        <v>0</v>
      </c>
      <c r="C127" s="178">
        <f t="shared" si="31"/>
        <v>0</v>
      </c>
      <c r="D127" s="178">
        <f t="shared" si="32"/>
        <v>0</v>
      </c>
      <c r="E127" s="178">
        <f t="shared" si="36"/>
        <v>0</v>
      </c>
      <c r="F127" s="178"/>
      <c r="G127" s="178"/>
      <c r="H127" s="178">
        <f t="shared" si="37"/>
        <v>0</v>
      </c>
      <c r="I127" s="178">
        <f t="shared" si="38"/>
        <v>38046948.931903295</v>
      </c>
      <c r="J127" s="178">
        <f t="shared" si="33"/>
        <v>0</v>
      </c>
      <c r="K127" s="178">
        <f t="shared" si="34"/>
        <v>0</v>
      </c>
      <c r="L127" s="178">
        <f t="shared" si="35"/>
        <v>0</v>
      </c>
    </row>
    <row r="128" spans="1:12">
      <c r="A128" s="180">
        <v>117</v>
      </c>
      <c r="B128" s="178">
        <f t="shared" si="30"/>
        <v>0</v>
      </c>
      <c r="C128" s="178">
        <f t="shared" si="31"/>
        <v>0</v>
      </c>
      <c r="D128" s="178">
        <f t="shared" si="32"/>
        <v>0</v>
      </c>
      <c r="E128" s="178">
        <f t="shared" si="36"/>
        <v>0</v>
      </c>
      <c r="F128" s="178"/>
      <c r="G128" s="178"/>
      <c r="H128" s="178">
        <f t="shared" si="37"/>
        <v>0</v>
      </c>
      <c r="I128" s="178">
        <f t="shared" si="38"/>
        <v>38046948.931903295</v>
      </c>
      <c r="J128" s="178">
        <f t="shared" si="33"/>
        <v>0</v>
      </c>
      <c r="K128" s="178">
        <f t="shared" si="34"/>
        <v>0</v>
      </c>
      <c r="L128" s="178">
        <f t="shared" si="35"/>
        <v>0</v>
      </c>
    </row>
    <row r="129" spans="1:12">
      <c r="A129" s="180">
        <v>118</v>
      </c>
      <c r="B129" s="178">
        <f t="shared" si="30"/>
        <v>0</v>
      </c>
      <c r="C129" s="178">
        <f t="shared" si="31"/>
        <v>0</v>
      </c>
      <c r="D129" s="178">
        <f t="shared" si="32"/>
        <v>0</v>
      </c>
      <c r="E129" s="178">
        <f t="shared" si="36"/>
        <v>0</v>
      </c>
      <c r="F129" s="178"/>
      <c r="G129" s="178"/>
      <c r="H129" s="178">
        <f t="shared" si="37"/>
        <v>0</v>
      </c>
      <c r="I129" s="178">
        <f t="shared" si="38"/>
        <v>38046948.931903295</v>
      </c>
      <c r="J129" s="178">
        <f t="shared" si="33"/>
        <v>0</v>
      </c>
      <c r="K129" s="178">
        <f t="shared" si="34"/>
        <v>0</v>
      </c>
      <c r="L129" s="178">
        <f t="shared" si="35"/>
        <v>0</v>
      </c>
    </row>
    <row r="130" spans="1:12">
      <c r="A130" s="180">
        <v>119</v>
      </c>
      <c r="B130" s="178">
        <f t="shared" si="30"/>
        <v>0</v>
      </c>
      <c r="C130" s="178">
        <f t="shared" si="31"/>
        <v>0</v>
      </c>
      <c r="D130" s="178">
        <f t="shared" si="32"/>
        <v>0</v>
      </c>
      <c r="E130" s="178">
        <f t="shared" si="36"/>
        <v>0</v>
      </c>
      <c r="F130" s="178"/>
      <c r="G130" s="178"/>
      <c r="H130" s="178">
        <f t="shared" si="37"/>
        <v>0</v>
      </c>
      <c r="I130" s="178">
        <f t="shared" si="38"/>
        <v>38046948.931903295</v>
      </c>
      <c r="J130" s="178">
        <f t="shared" si="33"/>
        <v>0</v>
      </c>
      <c r="K130" s="178">
        <f t="shared" si="34"/>
        <v>0</v>
      </c>
      <c r="L130" s="178">
        <f t="shared" si="35"/>
        <v>0</v>
      </c>
    </row>
    <row r="131" spans="1:12">
      <c r="A131" s="180">
        <v>120</v>
      </c>
      <c r="B131" s="178">
        <f t="shared" si="30"/>
        <v>0</v>
      </c>
      <c r="C131" s="178">
        <f t="shared" si="31"/>
        <v>0</v>
      </c>
      <c r="D131" s="178">
        <f t="shared" si="32"/>
        <v>0</v>
      </c>
      <c r="E131" s="178">
        <f t="shared" si="36"/>
        <v>0</v>
      </c>
      <c r="F131" s="178"/>
      <c r="G131" s="178"/>
      <c r="H131" s="178">
        <f t="shared" si="37"/>
        <v>0</v>
      </c>
      <c r="I131" s="178">
        <f t="shared" si="38"/>
        <v>38046948.931903295</v>
      </c>
      <c r="J131" s="178">
        <f t="shared" si="33"/>
        <v>0</v>
      </c>
      <c r="K131" s="178">
        <f t="shared" si="34"/>
        <v>0</v>
      </c>
      <c r="L131" s="178">
        <f t="shared" si="35"/>
        <v>0</v>
      </c>
    </row>
    <row r="132" spans="1:12">
      <c r="A132" s="180">
        <v>121</v>
      </c>
      <c r="B132" s="178">
        <f t="shared" si="30"/>
        <v>0</v>
      </c>
      <c r="C132" s="178">
        <v>0</v>
      </c>
      <c r="D132" s="178">
        <f t="shared" si="32"/>
        <v>0</v>
      </c>
      <c r="E132" s="178">
        <f t="shared" si="36"/>
        <v>0</v>
      </c>
      <c r="F132" s="178"/>
      <c r="G132" s="178"/>
      <c r="H132" s="178">
        <f t="shared" si="37"/>
        <v>0</v>
      </c>
      <c r="I132" s="178">
        <f t="shared" si="38"/>
        <v>38046948.931903295</v>
      </c>
      <c r="J132" s="178">
        <f t="shared" si="33"/>
        <v>0</v>
      </c>
      <c r="K132" s="178">
        <f t="shared" si="34"/>
        <v>0</v>
      </c>
      <c r="L132" s="178">
        <f t="shared" si="35"/>
        <v>0</v>
      </c>
    </row>
    <row r="133" spans="1:12">
      <c r="A133" s="180">
        <v>122</v>
      </c>
      <c r="B133" s="178">
        <v>0</v>
      </c>
      <c r="C133" s="178">
        <v>0</v>
      </c>
      <c r="D133" s="178">
        <f t="shared" si="32"/>
        <v>0</v>
      </c>
      <c r="E133" s="178">
        <f t="shared" si="36"/>
        <v>0</v>
      </c>
      <c r="F133" s="178"/>
      <c r="G133" s="178"/>
      <c r="H133" s="178">
        <f t="shared" si="37"/>
        <v>0</v>
      </c>
      <c r="I133" s="178">
        <f t="shared" si="38"/>
        <v>38046948.931903295</v>
      </c>
      <c r="J133" s="178">
        <f t="shared" si="33"/>
        <v>0</v>
      </c>
      <c r="K133" s="178">
        <f t="shared" si="34"/>
        <v>0</v>
      </c>
      <c r="L133" s="178">
        <f t="shared" si="35"/>
        <v>0</v>
      </c>
    </row>
    <row r="134" spans="1:12">
      <c r="A134" s="180">
        <v>123</v>
      </c>
      <c r="B134" s="178">
        <v>0</v>
      </c>
      <c r="C134" s="178">
        <v>0</v>
      </c>
      <c r="D134" s="178">
        <f t="shared" si="32"/>
        <v>0</v>
      </c>
      <c r="E134" s="178">
        <f t="shared" si="36"/>
        <v>0</v>
      </c>
      <c r="F134" s="178"/>
      <c r="G134" s="178"/>
      <c r="H134" s="178">
        <f t="shared" si="37"/>
        <v>0</v>
      </c>
      <c r="I134" s="178">
        <f t="shared" si="38"/>
        <v>38046948.931903295</v>
      </c>
      <c r="J134" s="178">
        <f t="shared" si="33"/>
        <v>0</v>
      </c>
      <c r="K134" s="178">
        <f t="shared" si="34"/>
        <v>0</v>
      </c>
      <c r="L134" s="178">
        <f t="shared" si="35"/>
        <v>0</v>
      </c>
    </row>
    <row r="135" spans="1:12">
      <c r="A135" s="180">
        <v>124</v>
      </c>
      <c r="B135" s="178">
        <v>0</v>
      </c>
      <c r="C135" s="178">
        <v>0</v>
      </c>
      <c r="D135" s="178">
        <f t="shared" si="32"/>
        <v>0</v>
      </c>
      <c r="E135" s="178">
        <f t="shared" si="36"/>
        <v>0</v>
      </c>
      <c r="F135" s="178"/>
      <c r="G135" s="178"/>
      <c r="H135" s="178">
        <f t="shared" si="37"/>
        <v>0</v>
      </c>
      <c r="I135" s="178">
        <f t="shared" si="38"/>
        <v>38046948.931903295</v>
      </c>
      <c r="J135" s="178">
        <f t="shared" si="33"/>
        <v>0</v>
      </c>
      <c r="K135" s="178">
        <f t="shared" si="34"/>
        <v>0</v>
      </c>
      <c r="L135" s="178">
        <f t="shared" si="35"/>
        <v>0</v>
      </c>
    </row>
    <row r="136" spans="1:12">
      <c r="A136" s="180">
        <v>125</v>
      </c>
      <c r="B136" s="178">
        <v>0</v>
      </c>
      <c r="C136" s="178">
        <v>0</v>
      </c>
      <c r="D136" s="178">
        <f t="shared" si="32"/>
        <v>0</v>
      </c>
      <c r="E136" s="178">
        <f t="shared" si="36"/>
        <v>0</v>
      </c>
      <c r="F136" s="178"/>
      <c r="G136" s="178"/>
      <c r="H136" s="178">
        <f t="shared" si="37"/>
        <v>0</v>
      </c>
      <c r="I136" s="178">
        <f t="shared" si="38"/>
        <v>38046948.931903295</v>
      </c>
      <c r="J136" s="178">
        <f t="shared" si="33"/>
        <v>0</v>
      </c>
      <c r="K136" s="178">
        <f t="shared" si="34"/>
        <v>0</v>
      </c>
      <c r="L136" s="178">
        <f t="shared" si="35"/>
        <v>0</v>
      </c>
    </row>
    <row r="137" spans="1:12">
      <c r="A137" s="180">
        <v>126</v>
      </c>
      <c r="B137" s="178">
        <v>0</v>
      </c>
      <c r="C137" s="178">
        <v>0</v>
      </c>
      <c r="D137" s="178">
        <f t="shared" si="32"/>
        <v>0</v>
      </c>
      <c r="E137" s="178">
        <f t="shared" si="36"/>
        <v>0</v>
      </c>
      <c r="F137" s="178"/>
      <c r="G137" s="178"/>
      <c r="H137" s="178">
        <f t="shared" si="37"/>
        <v>0</v>
      </c>
      <c r="I137" s="178">
        <f t="shared" si="38"/>
        <v>38046948.931903295</v>
      </c>
      <c r="J137" s="178">
        <f t="shared" si="33"/>
        <v>0</v>
      </c>
      <c r="K137" s="178">
        <f t="shared" si="34"/>
        <v>0</v>
      </c>
      <c r="L137" s="178">
        <f t="shared" si="35"/>
        <v>0</v>
      </c>
    </row>
    <row r="138" spans="1:12">
      <c r="A138" s="180">
        <v>127</v>
      </c>
      <c r="B138" s="178">
        <v>0</v>
      </c>
      <c r="C138" s="178">
        <v>0</v>
      </c>
      <c r="D138" s="178">
        <f t="shared" si="32"/>
        <v>0</v>
      </c>
      <c r="E138" s="178">
        <f t="shared" si="36"/>
        <v>0</v>
      </c>
      <c r="F138" s="178"/>
      <c r="G138" s="178"/>
      <c r="H138" s="178">
        <f t="shared" si="37"/>
        <v>0</v>
      </c>
      <c r="I138" s="178">
        <f t="shared" si="38"/>
        <v>38046948.931903295</v>
      </c>
      <c r="J138" s="178">
        <f t="shared" si="33"/>
        <v>0</v>
      </c>
      <c r="K138" s="178">
        <f t="shared" si="34"/>
        <v>0</v>
      </c>
      <c r="L138" s="178">
        <f t="shared" si="35"/>
        <v>0</v>
      </c>
    </row>
    <row r="139" spans="1:12">
      <c r="A139" s="180">
        <v>128</v>
      </c>
      <c r="B139" s="178">
        <v>0</v>
      </c>
      <c r="C139" s="178">
        <v>0</v>
      </c>
      <c r="D139" s="178">
        <f t="shared" ref="D139:D143" si="39">B139+C139</f>
        <v>0</v>
      </c>
      <c r="E139" s="178">
        <f t="shared" si="36"/>
        <v>0</v>
      </c>
      <c r="F139" s="178"/>
      <c r="G139" s="178"/>
      <c r="H139" s="178">
        <f t="shared" si="37"/>
        <v>0</v>
      </c>
      <c r="I139" s="178">
        <f t="shared" si="38"/>
        <v>38046948.931903295</v>
      </c>
      <c r="J139" s="178">
        <f t="shared" si="33"/>
        <v>0</v>
      </c>
      <c r="K139" s="178">
        <f t="shared" si="34"/>
        <v>0</v>
      </c>
      <c r="L139" s="178">
        <f t="shared" si="35"/>
        <v>0</v>
      </c>
    </row>
    <row r="140" spans="1:12">
      <c r="A140" s="180">
        <v>129</v>
      </c>
      <c r="B140" s="178">
        <v>0</v>
      </c>
      <c r="C140" s="178">
        <v>0</v>
      </c>
      <c r="D140" s="178">
        <f t="shared" si="39"/>
        <v>0</v>
      </c>
      <c r="E140" s="178">
        <f t="shared" si="36"/>
        <v>0</v>
      </c>
      <c r="F140" s="178"/>
      <c r="G140" s="178"/>
      <c r="H140" s="178">
        <f t="shared" ref="H140:H143" si="40">F140+G140</f>
        <v>0</v>
      </c>
      <c r="I140" s="178">
        <f t="shared" si="38"/>
        <v>38046948.931903295</v>
      </c>
      <c r="J140" s="178">
        <f t="shared" si="33"/>
        <v>0</v>
      </c>
      <c r="K140" s="178">
        <f t="shared" si="34"/>
        <v>0</v>
      </c>
      <c r="L140" s="178">
        <f t="shared" si="35"/>
        <v>0</v>
      </c>
    </row>
    <row r="141" spans="1:12">
      <c r="A141" s="180">
        <v>130</v>
      </c>
      <c r="B141" s="178">
        <v>0</v>
      </c>
      <c r="C141" s="178">
        <v>0</v>
      </c>
      <c r="D141" s="178">
        <f t="shared" si="39"/>
        <v>0</v>
      </c>
      <c r="E141" s="178">
        <f t="shared" si="36"/>
        <v>0</v>
      </c>
      <c r="F141" s="178"/>
      <c r="G141" s="178"/>
      <c r="H141" s="178">
        <f t="shared" si="40"/>
        <v>0</v>
      </c>
      <c r="I141" s="178">
        <f t="shared" si="38"/>
        <v>38046948.931903295</v>
      </c>
      <c r="J141" s="178">
        <f t="shared" si="33"/>
        <v>0</v>
      </c>
      <c r="K141" s="178">
        <f t="shared" si="34"/>
        <v>0</v>
      </c>
      <c r="L141" s="178">
        <f t="shared" si="35"/>
        <v>0</v>
      </c>
    </row>
    <row r="142" spans="1:12">
      <c r="A142" s="180">
        <v>131</v>
      </c>
      <c r="B142" s="178">
        <v>0</v>
      </c>
      <c r="C142" s="178">
        <v>0</v>
      </c>
      <c r="D142" s="178">
        <f t="shared" si="39"/>
        <v>0</v>
      </c>
      <c r="E142" s="178">
        <f t="shared" si="36"/>
        <v>0</v>
      </c>
      <c r="F142" s="178"/>
      <c r="G142" s="178"/>
      <c r="H142" s="178">
        <f t="shared" si="40"/>
        <v>0</v>
      </c>
      <c r="I142" s="178">
        <f t="shared" si="38"/>
        <v>38046948.931903295</v>
      </c>
      <c r="J142" s="178">
        <f t="shared" si="33"/>
        <v>0</v>
      </c>
      <c r="K142" s="178">
        <f t="shared" si="34"/>
        <v>0</v>
      </c>
      <c r="L142" s="178">
        <f t="shared" si="35"/>
        <v>0</v>
      </c>
    </row>
    <row r="143" spans="1:12">
      <c r="A143" s="180">
        <v>132</v>
      </c>
      <c r="B143" s="178">
        <v>0</v>
      </c>
      <c r="C143" s="178">
        <v>0</v>
      </c>
      <c r="D143" s="178">
        <f t="shared" si="39"/>
        <v>0</v>
      </c>
      <c r="E143" s="178">
        <f t="shared" si="36"/>
        <v>0</v>
      </c>
      <c r="F143" s="178"/>
      <c r="G143" s="178"/>
      <c r="H143" s="178">
        <f t="shared" si="40"/>
        <v>0</v>
      </c>
      <c r="I143" s="178">
        <f t="shared" si="38"/>
        <v>38046948.931903295</v>
      </c>
      <c r="J143" s="178">
        <f t="shared" si="33"/>
        <v>0</v>
      </c>
      <c r="K143" s="178">
        <f t="shared" si="34"/>
        <v>0</v>
      </c>
      <c r="L143" s="178">
        <f t="shared" si="35"/>
        <v>0</v>
      </c>
    </row>
    <row r="144" spans="1:12">
      <c r="A144" s="180"/>
      <c r="B144" s="178"/>
      <c r="C144" s="178"/>
      <c r="D144" s="178"/>
      <c r="E144" s="178"/>
      <c r="H144" s="178"/>
      <c r="I144" s="179"/>
      <c r="J144" s="178"/>
    </row>
    <row r="145" spans="1:134">
      <c r="A145" s="174">
        <f>A143/12</f>
        <v>11</v>
      </c>
      <c r="B145" s="176">
        <f>SUM(B11:B144)</f>
        <v>0</v>
      </c>
      <c r="C145" s="176">
        <f>SUM(C11:C144)</f>
        <v>0</v>
      </c>
      <c r="D145" s="176">
        <f>SUM(D11:D144)</f>
        <v>0</v>
      </c>
      <c r="F145" s="176">
        <f>SUM(F11:F131)</f>
        <v>0</v>
      </c>
      <c r="G145" s="176">
        <f>SUM(G11:G131)</f>
        <v>0</v>
      </c>
      <c r="H145" s="176">
        <f>SUM(H11:H131)</f>
        <v>0</v>
      </c>
    </row>
    <row r="158" spans="1:134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</row>
    <row r="159" spans="1:134">
      <c r="P159" s="174"/>
    </row>
    <row r="160" spans="1:134">
      <c r="A160" s="177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76"/>
      <c r="BZ160" s="176"/>
      <c r="CA160" s="176"/>
      <c r="CB160" s="176"/>
      <c r="CC160" s="176"/>
      <c r="CD160" s="176"/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6"/>
      <c r="DC160" s="176"/>
      <c r="DD160" s="176"/>
      <c r="DE160" s="176"/>
      <c r="DF160" s="176"/>
      <c r="DG160" s="176"/>
      <c r="DH160" s="176"/>
      <c r="DI160" s="176"/>
      <c r="DJ160" s="176"/>
      <c r="DK160" s="176"/>
      <c r="DL160" s="176"/>
      <c r="DM160" s="176"/>
      <c r="DN160" s="176"/>
      <c r="DO160" s="176"/>
      <c r="DP160" s="176"/>
      <c r="DQ160" s="176"/>
      <c r="DR160" s="176"/>
      <c r="DS160" s="176"/>
      <c r="DT160" s="176"/>
      <c r="DU160" s="176"/>
      <c r="DV160" s="176"/>
      <c r="DW160" s="176"/>
      <c r="DX160" s="176"/>
      <c r="DY160" s="176"/>
      <c r="DZ160" s="176"/>
      <c r="EA160" s="176"/>
      <c r="EB160" s="176"/>
      <c r="EC160" s="176"/>
      <c r="ED160" s="176"/>
    </row>
    <row r="161" spans="1:135">
      <c r="A161" s="177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X161" s="176"/>
      <c r="BY161" s="176"/>
      <c r="BZ161" s="176"/>
      <c r="CA161" s="176"/>
      <c r="CB161" s="176"/>
      <c r="CC161" s="176"/>
      <c r="CD161" s="176"/>
      <c r="CE161" s="176"/>
      <c r="CF161" s="176"/>
      <c r="CG161" s="176"/>
      <c r="CH161" s="176"/>
      <c r="CI161" s="176"/>
      <c r="CJ161" s="176"/>
      <c r="CK161" s="176"/>
      <c r="CL161" s="176"/>
      <c r="CM161" s="176"/>
      <c r="CN161" s="176"/>
      <c r="CO161" s="176"/>
      <c r="CP161" s="176"/>
      <c r="CQ161" s="176"/>
      <c r="CR161" s="176"/>
      <c r="CS161" s="176"/>
      <c r="CT161" s="176"/>
      <c r="CU161" s="176"/>
      <c r="CV161" s="176"/>
      <c r="CW161" s="176"/>
      <c r="CX161" s="176"/>
      <c r="CY161" s="176"/>
      <c r="CZ161" s="176"/>
      <c r="DA161" s="176"/>
      <c r="DB161" s="176"/>
      <c r="DC161" s="176"/>
      <c r="DD161" s="176"/>
      <c r="DE161" s="176"/>
      <c r="DF161" s="176"/>
      <c r="DG161" s="176"/>
      <c r="DH161" s="176"/>
      <c r="DI161" s="176"/>
      <c r="DJ161" s="176"/>
      <c r="DK161" s="176"/>
      <c r="DL161" s="176"/>
      <c r="DM161" s="176"/>
      <c r="DN161" s="176"/>
      <c r="DO161" s="176"/>
      <c r="DP161" s="176"/>
      <c r="DQ161" s="176"/>
      <c r="DR161" s="176"/>
      <c r="DS161" s="176"/>
      <c r="DT161" s="176"/>
      <c r="DU161" s="176"/>
      <c r="DV161" s="176"/>
      <c r="DW161" s="176"/>
      <c r="DX161" s="176"/>
      <c r="DY161" s="176"/>
      <c r="DZ161" s="176"/>
      <c r="EA161" s="176"/>
      <c r="EB161" s="176"/>
      <c r="EC161" s="176"/>
      <c r="ED161" s="176"/>
    </row>
    <row r="163" spans="1:135">
      <c r="AA163" s="176"/>
      <c r="AM163" s="176"/>
      <c r="AY163" s="176"/>
      <c r="BK163" s="176"/>
      <c r="BW163" s="176"/>
      <c r="CI163" s="176"/>
      <c r="CU163" s="176"/>
      <c r="DG163" s="176"/>
      <c r="DS163" s="176"/>
      <c r="EE163" s="176"/>
    </row>
    <row r="167" spans="1:135">
      <c r="A167" s="176"/>
      <c r="B167" s="176"/>
    </row>
    <row r="168" spans="1:135">
      <c r="A168" s="176"/>
      <c r="B168" s="176"/>
    </row>
    <row r="169" spans="1:135">
      <c r="A169" s="176"/>
      <c r="B169" s="176"/>
    </row>
    <row r="170" spans="1:135">
      <c r="A170" s="174" t="s">
        <v>115</v>
      </c>
      <c r="B170" s="176"/>
      <c r="C170" s="108" t="s">
        <v>182</v>
      </c>
      <c r="D170" s="108" t="s">
        <v>183</v>
      </c>
      <c r="E170" s="108" t="s">
        <v>184</v>
      </c>
      <c r="F170" s="108" t="s">
        <v>185</v>
      </c>
      <c r="G170" s="108" t="s">
        <v>186</v>
      </c>
      <c r="H170" s="108" t="s">
        <v>187</v>
      </c>
      <c r="I170" s="108" t="s">
        <v>188</v>
      </c>
      <c r="J170" s="108" t="s">
        <v>189</v>
      </c>
      <c r="K170" s="108" t="s">
        <v>190</v>
      </c>
      <c r="L170" s="108" t="s">
        <v>191</v>
      </c>
      <c r="O170" s="176">
        <f>SUM(O160:Z161)</f>
        <v>0</v>
      </c>
    </row>
    <row r="171" spans="1:135">
      <c r="A171" s="174" t="s">
        <v>468</v>
      </c>
      <c r="B171" s="176"/>
      <c r="C171" s="176">
        <f>SUM(B12:B23)</f>
        <v>0</v>
      </c>
      <c r="D171" s="176">
        <f>SUM(B24:B35)</f>
        <v>0</v>
      </c>
      <c r="E171" s="176">
        <f>SUM(B36:B47)</f>
        <v>0</v>
      </c>
      <c r="F171" s="176">
        <f>SUM(B48:B59)</f>
        <v>0</v>
      </c>
      <c r="G171" s="176">
        <f>SUM(B60:B71)</f>
        <v>0</v>
      </c>
      <c r="H171" s="176">
        <f>SUM(B72:B83)</f>
        <v>0</v>
      </c>
      <c r="I171" s="176">
        <f>SUM(B84:B95)</f>
        <v>0</v>
      </c>
      <c r="J171" s="176">
        <f>SUM(B96:B107)</f>
        <v>0</v>
      </c>
      <c r="K171" s="176">
        <f>SUM(B108:B119)</f>
        <v>0</v>
      </c>
      <c r="L171" s="176">
        <f>SUM(B120:B131)</f>
        <v>0</v>
      </c>
      <c r="O171" s="176"/>
    </row>
    <row r="172" spans="1:135">
      <c r="A172" s="174" t="s">
        <v>479</v>
      </c>
      <c r="B172" s="176"/>
      <c r="C172" s="176">
        <f>SUM(C12:C23)</f>
        <v>0</v>
      </c>
      <c r="D172" s="176">
        <f>SUM(C24:C35)</f>
        <v>0</v>
      </c>
      <c r="E172" s="176">
        <f>SUM(C36:C47)</f>
        <v>0</v>
      </c>
      <c r="F172" s="176">
        <f>SUM(C48:C59)</f>
        <v>0</v>
      </c>
      <c r="G172" s="176">
        <f>SUM(C60:C71)</f>
        <v>0</v>
      </c>
      <c r="H172" s="176">
        <f>SUM(C72:C83)</f>
        <v>0</v>
      </c>
      <c r="I172" s="176">
        <f>SUM(C84:C95)</f>
        <v>0</v>
      </c>
      <c r="J172" s="176">
        <f>SUM(C96:C107)</f>
        <v>0</v>
      </c>
      <c r="K172" s="176">
        <f>SUM(C108:C119)</f>
        <v>0</v>
      </c>
      <c r="L172" s="176">
        <f>SUM(C120:C131)</f>
        <v>0</v>
      </c>
      <c r="O172" s="176"/>
    </row>
    <row r="173" spans="1:135">
      <c r="A173" s="174" t="s">
        <v>30</v>
      </c>
      <c r="C173" s="176">
        <f>SUM(D12:D23)</f>
        <v>0</v>
      </c>
      <c r="D173" s="176">
        <f>SUM(D24:D35)</f>
        <v>0</v>
      </c>
      <c r="E173" s="176">
        <f>SUM(D36:D47)</f>
        <v>0</v>
      </c>
      <c r="F173" s="176">
        <f>SUM(D48:D59)</f>
        <v>0</v>
      </c>
      <c r="G173" s="176">
        <f>SUM(D60:D71)</f>
        <v>0</v>
      </c>
      <c r="H173" s="176">
        <f>SUM(D72:D83)</f>
        <v>0</v>
      </c>
      <c r="I173" s="176">
        <f>SUM(D84:D95)</f>
        <v>0</v>
      </c>
      <c r="J173" s="176">
        <f>SUM(D96:D107)</f>
        <v>0</v>
      </c>
      <c r="K173" s="176">
        <f>SUM(D108:D119)</f>
        <v>0</v>
      </c>
      <c r="L173" s="176">
        <f>SUM(D120:D131)</f>
        <v>0</v>
      </c>
      <c r="M173" s="176"/>
    </row>
    <row r="175" spans="1:135">
      <c r="A175" s="177"/>
      <c r="B175" s="177"/>
    </row>
    <row r="176" spans="1:135">
      <c r="A176" s="176"/>
      <c r="B176" s="176"/>
    </row>
    <row r="177" spans="1:2">
      <c r="A177" s="176"/>
      <c r="B177" s="176"/>
    </row>
    <row r="178" spans="1:2">
      <c r="A178" s="176"/>
      <c r="B178" s="176"/>
    </row>
    <row r="179" spans="1:2">
      <c r="A179" s="176"/>
      <c r="B179" s="176"/>
    </row>
    <row r="180" spans="1:2">
      <c r="A180" s="176"/>
      <c r="B180" s="176"/>
    </row>
    <row r="181" spans="1:2">
      <c r="A181" s="176"/>
      <c r="B181" s="176"/>
    </row>
    <row r="182" spans="1:2">
      <c r="A182" s="176"/>
      <c r="B182" s="176"/>
    </row>
    <row r="183" spans="1:2">
      <c r="A183" s="176"/>
      <c r="B183" s="176"/>
    </row>
    <row r="184" spans="1:2">
      <c r="A184" s="176"/>
      <c r="B184" s="176"/>
    </row>
    <row r="185" spans="1:2">
      <c r="A185" s="176"/>
      <c r="B185" s="176"/>
    </row>
    <row r="186" spans="1:2">
      <c r="A186" s="176"/>
      <c r="B186" s="176"/>
    </row>
    <row r="187" spans="1:2">
      <c r="A187" s="176"/>
      <c r="B187" s="176"/>
    </row>
    <row r="188" spans="1:2">
      <c r="A188" s="176"/>
      <c r="B188" s="176"/>
    </row>
    <row r="189" spans="1:2">
      <c r="A189" s="176"/>
      <c r="B189" s="176"/>
    </row>
    <row r="190" spans="1:2">
      <c r="A190" s="176"/>
      <c r="B190" s="176"/>
    </row>
    <row r="191" spans="1:2">
      <c r="A191" s="176"/>
      <c r="B191" s="176"/>
    </row>
    <row r="192" spans="1:2">
      <c r="A192" s="176"/>
      <c r="B192" s="176"/>
    </row>
    <row r="193" spans="1:2">
      <c r="A193" s="176"/>
      <c r="B193" s="176"/>
    </row>
    <row r="194" spans="1:2">
      <c r="A194" s="176"/>
      <c r="B194" s="176"/>
    </row>
    <row r="195" spans="1:2">
      <c r="A195" s="176"/>
      <c r="B195" s="176"/>
    </row>
    <row r="196" spans="1:2">
      <c r="A196" s="176"/>
      <c r="B196" s="176"/>
    </row>
    <row r="197" spans="1:2">
      <c r="A197" s="176"/>
      <c r="B197" s="176"/>
    </row>
    <row r="198" spans="1:2">
      <c r="A198" s="176"/>
      <c r="B198" s="176"/>
    </row>
    <row r="199" spans="1:2">
      <c r="A199" s="176"/>
      <c r="B199" s="176"/>
    </row>
    <row r="200" spans="1:2">
      <c r="A200" s="176"/>
      <c r="B200" s="176"/>
    </row>
    <row r="201" spans="1:2">
      <c r="A201" s="176"/>
      <c r="B201" s="176"/>
    </row>
    <row r="202" spans="1:2">
      <c r="A202" s="176"/>
      <c r="B202" s="176"/>
    </row>
    <row r="203" spans="1:2">
      <c r="A203" s="176"/>
      <c r="B203" s="176"/>
    </row>
    <row r="204" spans="1:2">
      <c r="A204" s="176"/>
      <c r="B204" s="176"/>
    </row>
    <row r="205" spans="1:2">
      <c r="A205" s="176"/>
      <c r="B205" s="176"/>
    </row>
    <row r="206" spans="1:2">
      <c r="A206" s="176"/>
      <c r="B206" s="176"/>
    </row>
    <row r="207" spans="1:2">
      <c r="A207" s="176"/>
      <c r="B207" s="176"/>
    </row>
    <row r="208" spans="1:2">
      <c r="A208" s="176"/>
      <c r="B208" s="176"/>
    </row>
    <row r="209" spans="1:2">
      <c r="A209" s="176"/>
      <c r="B209" s="176"/>
    </row>
    <row r="210" spans="1:2">
      <c r="A210" s="176"/>
      <c r="B210" s="176"/>
    </row>
    <row r="211" spans="1:2">
      <c r="A211" s="176"/>
      <c r="B211" s="176"/>
    </row>
    <row r="212" spans="1:2">
      <c r="A212" s="176"/>
      <c r="B212" s="176"/>
    </row>
    <row r="213" spans="1:2">
      <c r="A213" s="176"/>
      <c r="B213" s="176"/>
    </row>
    <row r="214" spans="1:2">
      <c r="A214" s="176"/>
      <c r="B214" s="176"/>
    </row>
    <row r="215" spans="1:2">
      <c r="A215" s="176"/>
      <c r="B215" s="176"/>
    </row>
    <row r="216" spans="1:2">
      <c r="A216" s="176"/>
      <c r="B216" s="176"/>
    </row>
    <row r="217" spans="1:2">
      <c r="A217" s="176"/>
      <c r="B217" s="176"/>
    </row>
    <row r="218" spans="1:2">
      <c r="A218" s="176"/>
      <c r="B218" s="176"/>
    </row>
    <row r="219" spans="1:2">
      <c r="A219" s="176"/>
      <c r="B219" s="176"/>
    </row>
    <row r="220" spans="1:2">
      <c r="A220" s="176"/>
      <c r="B220" s="176"/>
    </row>
    <row r="221" spans="1:2">
      <c r="A221" s="176"/>
      <c r="B221" s="176"/>
    </row>
    <row r="222" spans="1:2">
      <c r="A222" s="176"/>
      <c r="B222" s="176"/>
    </row>
    <row r="223" spans="1:2">
      <c r="A223" s="176"/>
      <c r="B223" s="176"/>
    </row>
    <row r="224" spans="1:2">
      <c r="A224" s="176"/>
      <c r="B224" s="176"/>
    </row>
    <row r="225" spans="1:2">
      <c r="A225" s="176"/>
      <c r="B225" s="176"/>
    </row>
    <row r="226" spans="1:2">
      <c r="A226" s="176"/>
      <c r="B226" s="176"/>
    </row>
    <row r="227" spans="1:2">
      <c r="A227" s="176"/>
      <c r="B227" s="176"/>
    </row>
    <row r="228" spans="1:2">
      <c r="A228" s="176"/>
      <c r="B228" s="176"/>
    </row>
    <row r="229" spans="1:2">
      <c r="A229" s="176"/>
      <c r="B229" s="176"/>
    </row>
    <row r="230" spans="1:2">
      <c r="A230" s="176"/>
      <c r="B230" s="176"/>
    </row>
    <row r="231" spans="1:2">
      <c r="A231" s="176"/>
      <c r="B231" s="176"/>
    </row>
    <row r="232" spans="1:2">
      <c r="A232" s="176"/>
      <c r="B232" s="176"/>
    </row>
    <row r="233" spans="1:2">
      <c r="A233" s="176"/>
      <c r="B233" s="176"/>
    </row>
    <row r="234" spans="1:2">
      <c r="A234" s="176"/>
      <c r="B234" s="176"/>
    </row>
    <row r="235" spans="1:2">
      <c r="A235" s="176"/>
      <c r="B235" s="176"/>
    </row>
    <row r="236" spans="1:2">
      <c r="A236" s="176"/>
      <c r="B236" s="176"/>
    </row>
    <row r="237" spans="1:2">
      <c r="A237" s="176"/>
      <c r="B237" s="176"/>
    </row>
    <row r="238" spans="1:2">
      <c r="A238" s="176"/>
      <c r="B238" s="176"/>
    </row>
    <row r="239" spans="1:2">
      <c r="A239" s="176"/>
      <c r="B239" s="176"/>
    </row>
    <row r="240" spans="1:2">
      <c r="A240" s="176"/>
      <c r="B240" s="176"/>
    </row>
    <row r="241" spans="1:2">
      <c r="A241" s="176"/>
      <c r="B241" s="176"/>
    </row>
    <row r="242" spans="1:2">
      <c r="A242" s="176"/>
      <c r="B242" s="176"/>
    </row>
    <row r="243" spans="1:2">
      <c r="A243" s="176"/>
      <c r="B243" s="176"/>
    </row>
    <row r="244" spans="1:2">
      <c r="A244" s="176"/>
      <c r="B244" s="176"/>
    </row>
    <row r="245" spans="1:2">
      <c r="A245" s="176"/>
      <c r="B245" s="176"/>
    </row>
    <row r="246" spans="1:2">
      <c r="A246" s="176"/>
      <c r="B246" s="176"/>
    </row>
    <row r="247" spans="1:2">
      <c r="A247" s="176"/>
      <c r="B247" s="176"/>
    </row>
    <row r="248" spans="1:2">
      <c r="A248" s="176"/>
      <c r="B248" s="176"/>
    </row>
    <row r="249" spans="1:2">
      <c r="A249" s="176"/>
      <c r="B249" s="176"/>
    </row>
    <row r="250" spans="1:2">
      <c r="A250" s="176"/>
      <c r="B250" s="176"/>
    </row>
    <row r="251" spans="1:2">
      <c r="A251" s="176"/>
      <c r="B251" s="176"/>
    </row>
    <row r="252" spans="1:2">
      <c r="A252" s="176"/>
      <c r="B252" s="176"/>
    </row>
    <row r="253" spans="1:2">
      <c r="A253" s="176"/>
      <c r="B253" s="176"/>
    </row>
    <row r="254" spans="1:2">
      <c r="A254" s="176"/>
      <c r="B254" s="176"/>
    </row>
    <row r="255" spans="1:2">
      <c r="A255" s="176"/>
      <c r="B255" s="176"/>
    </row>
    <row r="256" spans="1:2">
      <c r="A256" s="176"/>
      <c r="B256" s="176"/>
    </row>
    <row r="257" spans="1:2">
      <c r="A257" s="176"/>
      <c r="B257" s="176"/>
    </row>
    <row r="258" spans="1:2">
      <c r="A258" s="176"/>
      <c r="B258" s="176"/>
    </row>
    <row r="259" spans="1:2">
      <c r="A259" s="176"/>
      <c r="B259" s="176"/>
    </row>
    <row r="260" spans="1:2">
      <c r="A260" s="176"/>
      <c r="B260" s="176"/>
    </row>
    <row r="261" spans="1:2">
      <c r="A261" s="176"/>
      <c r="B261" s="176"/>
    </row>
    <row r="262" spans="1:2">
      <c r="A262" s="176"/>
      <c r="B262" s="176"/>
    </row>
    <row r="263" spans="1:2">
      <c r="A263" s="176"/>
      <c r="B263" s="176"/>
    </row>
    <row r="264" spans="1:2">
      <c r="A264" s="176"/>
      <c r="B264" s="176"/>
    </row>
    <row r="265" spans="1:2">
      <c r="A265" s="176"/>
      <c r="B265" s="176"/>
    </row>
    <row r="266" spans="1:2">
      <c r="A266" s="176"/>
      <c r="B266" s="176"/>
    </row>
    <row r="267" spans="1:2">
      <c r="A267" s="176"/>
      <c r="B267" s="176"/>
    </row>
    <row r="268" spans="1:2">
      <c r="A268" s="176"/>
      <c r="B268" s="176"/>
    </row>
    <row r="269" spans="1:2">
      <c r="A269" s="176"/>
      <c r="B269" s="176"/>
    </row>
    <row r="270" spans="1:2">
      <c r="A270" s="176"/>
      <c r="B270" s="176"/>
    </row>
    <row r="271" spans="1:2">
      <c r="A271" s="176"/>
      <c r="B271" s="176"/>
    </row>
    <row r="272" spans="1:2">
      <c r="A272" s="176"/>
      <c r="B272" s="176"/>
    </row>
    <row r="273" spans="1:2">
      <c r="A273" s="176"/>
      <c r="B273" s="176"/>
    </row>
    <row r="274" spans="1:2">
      <c r="A274" s="176"/>
      <c r="B274" s="176"/>
    </row>
    <row r="275" spans="1:2">
      <c r="A275" s="176"/>
      <c r="B275" s="176"/>
    </row>
    <row r="276" spans="1:2">
      <c r="A276" s="176"/>
      <c r="B276" s="176"/>
    </row>
    <row r="277" spans="1:2">
      <c r="A277" s="176"/>
      <c r="B277" s="176"/>
    </row>
    <row r="278" spans="1:2">
      <c r="A278" s="176"/>
      <c r="B278" s="176"/>
    </row>
    <row r="279" spans="1:2">
      <c r="A279" s="176"/>
      <c r="B279" s="176"/>
    </row>
    <row r="280" spans="1:2">
      <c r="A280" s="176"/>
      <c r="B280" s="176"/>
    </row>
    <row r="281" spans="1:2">
      <c r="A281" s="176"/>
      <c r="B281" s="176"/>
    </row>
    <row r="282" spans="1:2">
      <c r="A282" s="176"/>
      <c r="B282" s="176"/>
    </row>
    <row r="283" spans="1:2">
      <c r="A283" s="176"/>
      <c r="B283" s="176"/>
    </row>
    <row r="284" spans="1:2">
      <c r="A284" s="176"/>
      <c r="B284" s="176"/>
    </row>
    <row r="285" spans="1:2">
      <c r="A285" s="176"/>
      <c r="B285" s="176"/>
    </row>
    <row r="286" spans="1:2">
      <c r="A286" s="176"/>
      <c r="B286" s="176"/>
    </row>
    <row r="287" spans="1:2">
      <c r="A287" s="176"/>
      <c r="B287" s="176"/>
    </row>
    <row r="288" spans="1:2">
      <c r="A288" s="176"/>
      <c r="B288" s="176"/>
    </row>
    <row r="289" spans="1:2">
      <c r="A289" s="176"/>
      <c r="B289" s="176"/>
    </row>
    <row r="290" spans="1:2">
      <c r="A290" s="176"/>
      <c r="B290" s="176"/>
    </row>
    <row r="291" spans="1:2">
      <c r="A291" s="176"/>
      <c r="B291" s="176"/>
    </row>
    <row r="292" spans="1:2">
      <c r="A292" s="176"/>
      <c r="B292" s="176"/>
    </row>
    <row r="293" spans="1:2">
      <c r="A293" s="176"/>
      <c r="B293" s="176"/>
    </row>
    <row r="294" spans="1:2">
      <c r="A294" s="176"/>
      <c r="B294" s="176"/>
    </row>
    <row r="295" spans="1:2">
      <c r="A295" s="176"/>
      <c r="B295" s="176"/>
    </row>
    <row r="296" spans="1:2">
      <c r="A296" s="176"/>
      <c r="B296" s="176"/>
    </row>
    <row r="297" spans="1:2">
      <c r="A297" s="176"/>
      <c r="B297" s="176"/>
    </row>
    <row r="298" spans="1:2">
      <c r="A298" s="176"/>
      <c r="B298" s="176"/>
    </row>
    <row r="299" spans="1:2">
      <c r="A299" s="176"/>
      <c r="B299" s="176"/>
    </row>
    <row r="300" spans="1:2">
      <c r="A300" s="176"/>
      <c r="B300" s="176"/>
    </row>
    <row r="301" spans="1:2">
      <c r="A301" s="176"/>
      <c r="B301" s="176"/>
    </row>
  </sheetData>
  <mergeCells count="8">
    <mergeCell ref="F9:I9"/>
    <mergeCell ref="A9:A10"/>
    <mergeCell ref="B9:E9"/>
    <mergeCell ref="A1:F1"/>
    <mergeCell ref="A6:F6"/>
    <mergeCell ref="A7:B7"/>
    <mergeCell ref="A2:C2"/>
    <mergeCell ref="A3:A4"/>
  </mergeCells>
  <pageMargins left="0.7" right="0.7" top="0.75" bottom="0.75" header="0.3" footer="0.3"/>
  <pageSetup paperSize="9" orientation="portrait" verticalDpi="4294967293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1"/>
  <sheetViews>
    <sheetView zoomScale="117" workbookViewId="0">
      <selection activeCell="G9" sqref="G9"/>
    </sheetView>
  </sheetViews>
  <sheetFormatPr baseColWidth="10" defaultColWidth="8.83203125" defaultRowHeight="15"/>
  <cols>
    <col min="1" max="1" width="34.6640625" bestFit="1" customWidth="1"/>
    <col min="2" max="2" width="8.83203125" customWidth="1"/>
    <col min="3" max="3" width="13" customWidth="1"/>
    <col min="4" max="7" width="12.6640625" bestFit="1" customWidth="1"/>
    <col min="8" max="9" width="15.5" bestFit="1" customWidth="1"/>
    <col min="10" max="13" width="12.6640625" bestFit="1" customWidth="1"/>
    <col min="14" max="28" width="13.1640625" bestFit="1" customWidth="1"/>
  </cols>
  <sheetData>
    <row r="1" spans="1:28">
      <c r="A1" s="511" t="s">
        <v>460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119"/>
      <c r="O1" s="119"/>
    </row>
    <row r="2" spans="1:28">
      <c r="A2" s="107"/>
      <c r="B2" s="107"/>
      <c r="C2" s="108" t="s">
        <v>181</v>
      </c>
      <c r="D2" s="108" t="s">
        <v>182</v>
      </c>
      <c r="E2" s="108" t="s">
        <v>183</v>
      </c>
      <c r="F2" s="108" t="s">
        <v>184</v>
      </c>
      <c r="G2" s="108" t="s">
        <v>185</v>
      </c>
      <c r="H2" s="108" t="s">
        <v>186</v>
      </c>
      <c r="I2" s="108" t="s">
        <v>187</v>
      </c>
      <c r="J2" s="108" t="s">
        <v>188</v>
      </c>
      <c r="K2" s="108" t="s">
        <v>189</v>
      </c>
      <c r="L2" s="108" t="s">
        <v>190</v>
      </c>
      <c r="M2" s="108" t="s">
        <v>191</v>
      </c>
      <c r="N2" s="108" t="s">
        <v>202</v>
      </c>
      <c r="O2" s="108" t="s">
        <v>203</v>
      </c>
      <c r="P2" s="108" t="s">
        <v>204</v>
      </c>
      <c r="Q2" s="108" t="s">
        <v>205</v>
      </c>
      <c r="R2" s="108" t="s">
        <v>206</v>
      </c>
      <c r="S2" s="108" t="s">
        <v>207</v>
      </c>
      <c r="T2" s="108" t="s">
        <v>208</v>
      </c>
      <c r="U2" s="108" t="s">
        <v>209</v>
      </c>
      <c r="V2" s="108" t="s">
        <v>210</v>
      </c>
      <c r="W2" s="108" t="s">
        <v>211</v>
      </c>
      <c r="X2" s="108" t="s">
        <v>212</v>
      </c>
      <c r="Y2" s="108" t="s">
        <v>213</v>
      </c>
      <c r="Z2" s="108" t="s">
        <v>214</v>
      </c>
      <c r="AA2" s="108" t="s">
        <v>215</v>
      </c>
      <c r="AB2" s="108" t="s">
        <v>216</v>
      </c>
    </row>
    <row r="3" spans="1:28">
      <c r="A3" s="109" t="s">
        <v>192</v>
      </c>
      <c r="B3" s="109"/>
      <c r="C3" s="110"/>
      <c r="D3" s="110">
        <f t="shared" ref="D3:AB3" si="0">SUM(D4:D7)</f>
        <v>25125944.85699252</v>
      </c>
      <c r="E3" s="110">
        <f t="shared" si="0"/>
        <v>26774562.747981414</v>
      </c>
      <c r="F3" s="110">
        <f t="shared" si="0"/>
        <v>28531423.590468328</v>
      </c>
      <c r="G3" s="110">
        <f t="shared" si="0"/>
        <v>30403632.583543241</v>
      </c>
      <c r="H3" s="110">
        <f t="shared" si="0"/>
        <v>32398774.769844417</v>
      </c>
      <c r="I3" s="110">
        <f t="shared" si="0"/>
        <v>34524924.82960473</v>
      </c>
      <c r="J3" s="110">
        <f t="shared" si="0"/>
        <v>36790682.150135614</v>
      </c>
      <c r="K3" s="110">
        <f t="shared" si="0"/>
        <v>39205233.514864564</v>
      </c>
      <c r="L3" s="110">
        <f t="shared" si="0"/>
        <v>41778341.331976958</v>
      </c>
      <c r="M3" s="110">
        <f t="shared" si="0"/>
        <v>44520431.308748089</v>
      </c>
      <c r="N3" s="110">
        <f t="shared" si="0"/>
        <v>47442596.10961289</v>
      </c>
      <c r="O3" s="110">
        <f t="shared" si="0"/>
        <v>50556684.233310759</v>
      </c>
      <c r="P3" s="110">
        <f t="shared" si="0"/>
        <v>53875298.244673163</v>
      </c>
      <c r="Q3" s="110">
        <f t="shared" si="0"/>
        <v>57411885.230321586</v>
      </c>
      <c r="R3" s="110">
        <f t="shared" si="0"/>
        <v>61180751.171276465</v>
      </c>
      <c r="S3" s="110">
        <f t="shared" si="0"/>
        <v>65197173.683809154</v>
      </c>
      <c r="T3" s="110">
        <f t="shared" si="0"/>
        <v>69477429.817956164</v>
      </c>
      <c r="U3" s="110">
        <f t="shared" si="0"/>
        <v>74038845.05767417</v>
      </c>
      <c r="V3" s="110">
        <f t="shared" si="0"/>
        <v>78899898.450830191</v>
      </c>
      <c r="W3" s="110">
        <f t="shared" si="0"/>
        <v>84080300.438190624</v>
      </c>
      <c r="X3" s="110">
        <f t="shared" si="0"/>
        <v>89601006.887605891</v>
      </c>
      <c r="Y3" s="110">
        <f t="shared" si="0"/>
        <v>95484419.748539686</v>
      </c>
      <c r="Z3" s="110">
        <f t="shared" si="0"/>
        <v>101754351.7272567</v>
      </c>
      <c r="AA3" s="110">
        <f t="shared" si="0"/>
        <v>108436230.01414059</v>
      </c>
      <c r="AB3" s="110">
        <f t="shared" si="0"/>
        <v>115557122.47290233</v>
      </c>
    </row>
    <row r="4" spans="1:28">
      <c r="A4" s="113" t="s">
        <v>678</v>
      </c>
      <c r="B4" s="113"/>
      <c r="C4" s="112"/>
      <c r="D4" s="112">
        <f>Receitas!F25</f>
        <v>11737171.306163341</v>
      </c>
      <c r="E4" s="112">
        <f>Receitas!G25</f>
        <v>12511120.931337597</v>
      </c>
      <c r="F4" s="112">
        <f>Receitas!H25</f>
        <v>13336104.941437516</v>
      </c>
      <c r="G4" s="112">
        <f>Receitas!I25</f>
        <v>14215488.159031613</v>
      </c>
      <c r="H4" s="112">
        <f>Receitas!J25</f>
        <v>15152857.743445002</v>
      </c>
      <c r="I4" s="112">
        <f>Receitas!K25</f>
        <v>16152037.96149273</v>
      </c>
      <c r="J4" s="112">
        <f>Receitas!L25</f>
        <v>17217104.019297045</v>
      </c>
      <c r="K4" s="112">
        <f>Receitas!M25</f>
        <v>18352400.701114658</v>
      </c>
      <c r="L4" s="112">
        <f>Receitas!N25</f>
        <v>19562558.549670253</v>
      </c>
      <c r="M4" s="112">
        <f>Receitas!O25</f>
        <v>20852514.821959611</v>
      </c>
      <c r="N4" s="112">
        <f>Receitas!P25</f>
        <v>22227530.406769473</v>
      </c>
      <c r="O4" s="112">
        <f>Receitas!Q25</f>
        <v>23693214.548339568</v>
      </c>
      <c r="P4" s="112">
        <f>Receitas!R25</f>
        <v>25255545.907857362</v>
      </c>
      <c r="Q4" s="112">
        <f>Receitas!S25</f>
        <v>26920897.288273714</v>
      </c>
      <c r="R4" s="112">
        <f>Receitas!T25</f>
        <v>28696062.611842968</v>
      </c>
      <c r="S4" s="112">
        <f>Receitas!U25</f>
        <v>30588282.223473229</v>
      </c>
      <c r="T4" s="112">
        <f>Receitas!V25</f>
        <v>32605274.783140603</v>
      </c>
      <c r="U4" s="112">
        <f>Receitas!W25</f>
        <v>34755267.824645862</v>
      </c>
      <c r="V4" s="112">
        <f>Receitas!X25</f>
        <v>37047031.286722615</v>
      </c>
      <c r="W4" s="112">
        <f>Receitas!Y25</f>
        <v>39489914.587832391</v>
      </c>
      <c r="X4" s="112">
        <f>Receitas!Z25</f>
        <v>42093881.570173033</v>
      </c>
      <c r="Y4" s="112">
        <f>Receitas!AA25</f>
        <v>44869553.519932963</v>
      </c>
      <c r="Z4" s="112">
        <f>Receitas!AB25</f>
        <v>47828253.424175084</v>
      </c>
      <c r="AA4" s="112">
        <f>Receitas!AC25</f>
        <v>50982050.874870472</v>
      </c>
      <c r="AB4" s="112">
        <f>Receitas!AD25</f>
        <v>54343808.62079826</v>
      </c>
    </row>
    <row r="5" spans="1:28">
      <c r="A5" s="113" t="s">
        <v>677</v>
      </c>
      <c r="B5" s="113"/>
      <c r="C5" s="112"/>
      <c r="D5" s="112">
        <f>Receitas!F28</f>
        <v>1099751.04</v>
      </c>
      <c r="E5" s="112">
        <f>Receitas!G28</f>
        <v>1163426.625216</v>
      </c>
      <c r="F5" s="112">
        <f>Receitas!H28</f>
        <v>1230789.0268160065</v>
      </c>
      <c r="G5" s="112">
        <f>Receitas!I28</f>
        <v>1302051.7114686535</v>
      </c>
      <c r="H5" s="112">
        <f>Receitas!J28</f>
        <v>1377440.5055626887</v>
      </c>
      <c r="I5" s="112">
        <f>Receitas!K28</f>
        <v>1457194.3108347685</v>
      </c>
      <c r="J5" s="112">
        <f>Receitas!L28</f>
        <v>1541565.8614321016</v>
      </c>
      <c r="K5" s="112">
        <f>Receitas!M28</f>
        <v>1630822.5248090203</v>
      </c>
      <c r="L5" s="112">
        <f>Receitas!N28</f>
        <v>1725247.1489954626</v>
      </c>
      <c r="M5" s="112">
        <f>Receitas!O28</f>
        <v>1825138.9589222998</v>
      </c>
      <c r="N5" s="112">
        <f>Receitas!P28</f>
        <v>1930814.504643901</v>
      </c>
      <c r="O5" s="112">
        <f>Receitas!Q28</f>
        <v>2042608.6644627834</v>
      </c>
      <c r="P5" s="112">
        <f>Receitas!R28</f>
        <v>2160875.7061351785</v>
      </c>
      <c r="Q5" s="112">
        <f>Receitas!S28</f>
        <v>2285990.4095204058</v>
      </c>
      <c r="R5" s="112">
        <f>Receitas!T28</f>
        <v>2418349.2542316369</v>
      </c>
      <c r="S5" s="112">
        <f>Receitas!U28</f>
        <v>2558371.6760516493</v>
      </c>
      <c r="T5" s="112">
        <f>Receitas!V28</f>
        <v>2706501.3960950393</v>
      </c>
      <c r="U5" s="112">
        <f>Receitas!W28</f>
        <v>2863207.826928942</v>
      </c>
      <c r="V5" s="112">
        <f>Receitas!X28</f>
        <v>3028987.560108128</v>
      </c>
      <c r="W5" s="112">
        <f>Receitas!Y28</f>
        <v>3204365.9398383889</v>
      </c>
      <c r="X5" s="112">
        <f>Receitas!Z28</f>
        <v>3389898.727755032</v>
      </c>
      <c r="Y5" s="112">
        <f>Receitas!AA28</f>
        <v>3586173.8640920487</v>
      </c>
      <c r="Z5" s="112">
        <f>Receitas!AB28</f>
        <v>3793813.3308229786</v>
      </c>
      <c r="AA5" s="112">
        <f>Receitas!AC28</f>
        <v>4013475.1226776293</v>
      </c>
      <c r="AB5" s="112">
        <f>Receitas!AD28</f>
        <v>4245855.3322806638</v>
      </c>
    </row>
    <row r="6" spans="1:28">
      <c r="A6" s="113" t="s">
        <v>193</v>
      </c>
      <c r="B6" s="113"/>
      <c r="C6" s="112"/>
      <c r="D6" s="112">
        <f>Receitas!F26</f>
        <v>11053046.216109179</v>
      </c>
      <c r="E6" s="112">
        <f>Receitas!G26</f>
        <v>11781884.881840102</v>
      </c>
      <c r="F6" s="112">
        <f>Receitas!H26</f>
        <v>12558784.65209431</v>
      </c>
      <c r="G6" s="112">
        <f>Receitas!I26</f>
        <v>13386909.089073665</v>
      </c>
      <c r="H6" s="112">
        <f>Receitas!J26</f>
        <v>14269643.619213406</v>
      </c>
      <c r="I6" s="112">
        <f>Receitas!K26</f>
        <v>15210586.862095769</v>
      </c>
      <c r="J6" s="112">
        <f>Receitas!L26</f>
        <v>16213570.266742963</v>
      </c>
      <c r="K6" s="112">
        <f>Receitas!M26</f>
        <v>17282697.809741355</v>
      </c>
      <c r="L6" s="112">
        <f>Receitas!N26</f>
        <v>18422319.476874005</v>
      </c>
      <c r="M6" s="112">
        <f>Receitas!O26</f>
        <v>19637088.918862708</v>
      </c>
      <c r="N6" s="112">
        <f>Receitas!P26</f>
        <v>20931952.517071672</v>
      </c>
      <c r="O6" s="112">
        <f>Receitas!Q26</f>
        <v>22312207.669964094</v>
      </c>
      <c r="P6" s="112">
        <f>Receitas!R26</f>
        <v>23783475.797654558</v>
      </c>
      <c r="Q6" s="112">
        <f>Receitas!S26</f>
        <v>25351765.026967257</v>
      </c>
      <c r="R6" s="112">
        <f>Receitas!T26</f>
        <v>27023455.690024137</v>
      </c>
      <c r="S6" s="112">
        <f>Receitas!U26</f>
        <v>28805378.907211237</v>
      </c>
      <c r="T6" s="112">
        <f>Receitas!V26</f>
        <v>30704811.379387371</v>
      </c>
      <c r="U6" s="112">
        <f>Receitas!W26</f>
        <v>32729488.627915457</v>
      </c>
      <c r="V6" s="112">
        <f>Receitas!X26</f>
        <v>34887669.557440549</v>
      </c>
      <c r="W6" s="112">
        <f>Receitas!Y26</f>
        <v>37188174.192323163</v>
      </c>
      <c r="X6" s="112">
        <f>Receitas!Z26</f>
        <v>39640354.252956033</v>
      </c>
      <c r="Y6" s="112">
        <f>Receitas!AA26</f>
        <v>42254246.538732342</v>
      </c>
      <c r="Z6" s="112">
        <f>Receitas!AB26</f>
        <v>45040486.909701936</v>
      </c>
      <c r="AA6" s="112">
        <f>Receitas!AC26</f>
        <v>48010459.588546097</v>
      </c>
      <c r="AB6" s="112">
        <f>Receitas!AD26</f>
        <v>51176269.734582081</v>
      </c>
    </row>
    <row r="7" spans="1:28">
      <c r="A7" s="113" t="s">
        <v>194</v>
      </c>
      <c r="B7" s="113"/>
      <c r="C7" s="112"/>
      <c r="D7" s="112">
        <f>Receitas!F27</f>
        <v>1235976.2947200001</v>
      </c>
      <c r="E7" s="112">
        <f>Receitas!G27</f>
        <v>1318130.3095877161</v>
      </c>
      <c r="F7" s="112">
        <f>Receitas!H27</f>
        <v>1405744.9701204938</v>
      </c>
      <c r="G7" s="112">
        <f>Receitas!I27</f>
        <v>1499183.6239693107</v>
      </c>
      <c r="H7" s="112">
        <f>Receitas!J27</f>
        <v>1598832.9016233194</v>
      </c>
      <c r="I7" s="112">
        <f>Receitas!K27</f>
        <v>1705105.6951814622</v>
      </c>
      <c r="J7" s="112">
        <f>Receitas!L27</f>
        <v>1818442.0026635018</v>
      </c>
      <c r="K7" s="112">
        <f>Receitas!M27</f>
        <v>1939312.4791995294</v>
      </c>
      <c r="L7" s="112">
        <f>Receitas!N27</f>
        <v>2068216.1564372424</v>
      </c>
      <c r="M7" s="112">
        <f>Receitas!O27</f>
        <v>2205688.6090034726</v>
      </c>
      <c r="N7" s="112">
        <f>Receitas!P27</f>
        <v>2352298.6811278402</v>
      </c>
      <c r="O7" s="112">
        <f>Receitas!Q27</f>
        <v>2508653.3505443204</v>
      </c>
      <c r="P7" s="112">
        <f>Receitas!R27</f>
        <v>2675400.8330260632</v>
      </c>
      <c r="Q7" s="112">
        <f>Receitas!S27</f>
        <v>2853232.505560203</v>
      </c>
      <c r="R7" s="112">
        <f>Receitas!T27</f>
        <v>3042883.6151777199</v>
      </c>
      <c r="S7" s="112">
        <f>Receitas!U27</f>
        <v>3245140.8770730449</v>
      </c>
      <c r="T7" s="112">
        <f>Receitas!V27</f>
        <v>3460842.2593331486</v>
      </c>
      <c r="U7" s="112">
        <f>Receitas!W27</f>
        <v>3690880.7781839068</v>
      </c>
      <c r="V7" s="112">
        <f>Receitas!X27</f>
        <v>3936210.0465589012</v>
      </c>
      <c r="W7" s="112">
        <f>Receitas!Y27</f>
        <v>4197845.7181966705</v>
      </c>
      <c r="X7" s="112">
        <f>Receitas!Z27</f>
        <v>4476872.3367217956</v>
      </c>
      <c r="Y7" s="112">
        <f>Receitas!AA27</f>
        <v>4774445.8257823233</v>
      </c>
      <c r="Z7" s="112">
        <f>Receitas!AB27</f>
        <v>5091798.062556698</v>
      </c>
      <c r="AA7" s="112">
        <f>Receitas!AC27</f>
        <v>5430244.4280463886</v>
      </c>
      <c r="AB7" s="112">
        <f>Receitas!AD27</f>
        <v>5791188.7852413179</v>
      </c>
    </row>
    <row r="8" spans="1:28">
      <c r="A8" s="109" t="s">
        <v>195</v>
      </c>
      <c r="B8" s="109"/>
      <c r="C8" s="110"/>
      <c r="D8" s="110">
        <f>SUM(D9:D12)</f>
        <v>-16178590.099545872</v>
      </c>
      <c r="E8" s="110">
        <f>SUM(E9:E12)</f>
        <v>-19477631.876105078</v>
      </c>
      <c r="F8" s="110">
        <f t="shared" ref="F8:AB8" si="1">SUM(F9:F12)</f>
        <v>-20685356.252000343</v>
      </c>
      <c r="G8" s="110">
        <f t="shared" si="1"/>
        <v>-21968387.704927795</v>
      </c>
      <c r="H8" s="110">
        <f t="shared" si="1"/>
        <v>-23331451.012166943</v>
      </c>
      <c r="I8" s="110">
        <f t="shared" si="1"/>
        <v>-24779566.107073601</v>
      </c>
      <c r="J8" s="110">
        <f t="shared" si="1"/>
        <v>-26318067.964278456</v>
      </c>
      <c r="K8" s="110">
        <f t="shared" si="1"/>
        <v>-27952634.915501781</v>
      </c>
      <c r="L8" s="110">
        <f t="shared" si="1"/>
        <v>-29689295.213371955</v>
      </c>
      <c r="M8" s="110">
        <f t="shared" si="1"/>
        <v>-31534464.209249772</v>
      </c>
      <c r="N8" s="110">
        <f t="shared" si="1"/>
        <v>-32530739.396565419</v>
      </c>
      <c r="O8" s="110">
        <f t="shared" si="1"/>
        <v>-35578028.079173274</v>
      </c>
      <c r="P8" s="110">
        <f t="shared" si="1"/>
        <v>-37791381.79455889</v>
      </c>
      <c r="Q8" s="110">
        <f t="shared" si="1"/>
        <v>-40143215.418815926</v>
      </c>
      <c r="R8" s="110">
        <f t="shared" si="1"/>
        <v>-42642236.682907544</v>
      </c>
      <c r="S8" s="110">
        <f t="shared" si="1"/>
        <v>-45297714.124481887</v>
      </c>
      <c r="T8" s="110">
        <f t="shared" si="1"/>
        <v>-48119501.296725638</v>
      </c>
      <c r="U8" s="110">
        <f t="shared" si="1"/>
        <v>-51118069.013107292</v>
      </c>
      <c r="V8" s="110">
        <f t="shared" si="1"/>
        <v>-54304555.761886373</v>
      </c>
      <c r="W8" s="110">
        <f t="shared" si="1"/>
        <v>-57690810.631665662</v>
      </c>
      <c r="X8" s="110">
        <f t="shared" si="1"/>
        <v>-61289418.527323052</v>
      </c>
      <c r="Y8" s="110">
        <f t="shared" si="1"/>
        <v>-65113783.145072624</v>
      </c>
      <c r="Z8" s="110">
        <f t="shared" si="1"/>
        <v>-69178138.957141981</v>
      </c>
      <c r="AA8" s="110">
        <f t="shared" si="1"/>
        <v>-73497638.48485367</v>
      </c>
      <c r="AB8" s="110">
        <f t="shared" si="1"/>
        <v>-78088386.717967167</v>
      </c>
    </row>
    <row r="9" spans="1:28">
      <c r="A9" s="114" t="s">
        <v>196</v>
      </c>
      <c r="B9" s="114"/>
      <c r="C9" s="121"/>
      <c r="D9" s="112">
        <f>-'Custos de Operação'!C35-Pessoal!C84</f>
        <v>-12797426.999478616</v>
      </c>
      <c r="E9" s="112">
        <f>-'Custos de Operação'!D35-Pessoal!D84</f>
        <v>-13570653.052833686</v>
      </c>
      <c r="F9" s="112">
        <f>-'Custos de Operação'!E35-Pessoal!E84</f>
        <v>-14390880.942759916</v>
      </c>
      <c r="G9" s="112">
        <f>-'Custos de Operação'!F35-Pessoal!F84</f>
        <v>-15260986.53332204</v>
      </c>
      <c r="H9" s="112">
        <f>-'Custos de Operação'!G35-Pessoal!G84</f>
        <v>-16184022.889588874</v>
      </c>
      <c r="I9" s="112">
        <f>-'Custos de Operação'!H35-Pessoal!H84</f>
        <v>-17163231.277213894</v>
      </c>
      <c r="J9" s="112">
        <f>-'Custos de Operação'!I35-Pessoal!I84</f>
        <v>-18202052.850074794</v>
      </c>
      <c r="K9" s="112">
        <f>-'Custos de Operação'!J35-Pessoal!J84</f>
        <v>-19304141.069352526</v>
      </c>
      <c r="L9" s="112">
        <f>-'Custos de Operação'!K35-Pessoal!K84</f>
        <v>-20473374.90018712</v>
      </c>
      <c r="M9" s="112">
        <f>-'Custos de Operação'!L35-Pessoal!L84</f>
        <v>-21713872.834981039</v>
      </c>
      <c r="N9" s="112">
        <f>-'Custos de Operação'!M35-Pessoal!M84</f>
        <v>-23030007.795542184</v>
      </c>
      <c r="O9" s="112">
        <f>-'Custos de Operação'!N35-Pessoal!N84</f>
        <v>-24426422.969580188</v>
      </c>
      <c r="P9" s="112">
        <f>-'Custos de Operação'!O35-Pessoal!O84</f>
        <v>-25908048.640604179</v>
      </c>
      <c r="Q9" s="112">
        <f>-'Custos de Operação'!P35-Pessoal!P84</f>
        <v>-27480120.074031562</v>
      </c>
      <c r="R9" s="112">
        <f>-'Custos de Operação'!Q35-Pessoal!Q84</f>
        <v>-29148196.526320226</v>
      </c>
      <c r="S9" s="112">
        <f>-'Custos de Operação'!R35-Pessoal!R84</f>
        <v>-30918181.448196564</v>
      </c>
      <c r="T9" s="112">
        <f>-'Custos de Operação'!S35-Pessoal!S84</f>
        <v>-32796343.957585305</v>
      </c>
      <c r="U9" s="112">
        <f>-'Custos de Operação'!T35-Pessoal!T84</f>
        <v>-34789341.662672497</v>
      </c>
      <c r="V9" s="112">
        <f>-'Custos de Operação'!U35-Pessoal!U84</f>
        <v>-36904244.920668297</v>
      </c>
      <c r="W9" s="112">
        <f>-'Custos de Operação'!V35-Pessoal!V84</f>
        <v>-39148562.623302355</v>
      </c>
      <c r="X9" s="112">
        <f>-'Custos de Operação'!W35-Pessoal!W84</f>
        <v>-41530269.605902463</v>
      </c>
      <c r="Y9" s="112">
        <f>-'Custos de Operação'!X35-Pessoal!X84</f>
        <v>-44057835.783099517</v>
      </c>
      <c r="Z9" s="112">
        <f>-'Custos de Operação'!Y35-Pessoal!Y84</f>
        <v>-46740257.12079373</v>
      </c>
      <c r="AA9" s="112">
        <f>-'Custos de Operação'!Z35-Pessoal!Z84</f>
        <v>-49587088.561033443</v>
      </c>
      <c r="AB9" s="112">
        <f>-'Custos de Operação'!AA35-Pessoal!AA84</f>
        <v>-52608479.023926899</v>
      </c>
    </row>
    <row r="10" spans="1:28">
      <c r="A10" s="111" t="s">
        <v>459</v>
      </c>
      <c r="B10" s="120"/>
      <c r="C10" s="112">
        <f>Impostos!C24</f>
        <v>0</v>
      </c>
      <c r="D10" s="112">
        <f>Impostos!D24</f>
        <v>-2853870.1692574192</v>
      </c>
      <c r="E10" s="112">
        <f>Impostos!E24</f>
        <v>-5345202.7550321687</v>
      </c>
      <c r="F10" s="112">
        <f>Impostos!F24</f>
        <v>-5695958.6318171574</v>
      </c>
      <c r="G10" s="112">
        <f>Impostos!G24</f>
        <v>-6069738.6759526897</v>
      </c>
      <c r="H10" s="112">
        <f>Impostos!H24</f>
        <v>-6468056.7379368665</v>
      </c>
      <c r="I10" s="112">
        <f>Impostos!I24</f>
        <v>-6892523.5996683259</v>
      </c>
      <c r="J10" s="112">
        <f>Impostos!J24</f>
        <v>-7344854.3595278263</v>
      </c>
      <c r="K10" s="112">
        <f>Impostos!K24</f>
        <v>-7826882.694162434</v>
      </c>
      <c r="L10" s="112">
        <f>Impostos!L24</f>
        <v>-8340555.1230557477</v>
      </c>
      <c r="M10" s="112">
        <f>Impostos!M24</f>
        <v>-8887951.7231213413</v>
      </c>
      <c r="N10" s="112">
        <f>Impostos!N24</f>
        <v>-8507066.6493898667</v>
      </c>
      <c r="O10" s="112">
        <f>Impostos!O24</f>
        <v>-10092917.597877398</v>
      </c>
      <c r="P10" s="112">
        <f>Impostos!P24</f>
        <v>-10755364.09262687</v>
      </c>
      <c r="Q10" s="112">
        <f>Impostos!Q24</f>
        <v>-11461306.280371314</v>
      </c>
      <c r="R10" s="112">
        <f>Impostos!R24</f>
        <v>-12213595.743947932</v>
      </c>
      <c r="S10" s="112">
        <f>Impostos!S24</f>
        <v>-13015280.064056201</v>
      </c>
      <c r="T10" s="112">
        <f>Impostos!T24</f>
        <v>-13869605.539006086</v>
      </c>
      <c r="U10" s="112">
        <f>Impostos!U24</f>
        <v>-14780025.808155578</v>
      </c>
      <c r="V10" s="112">
        <f>Impostos!V24</f>
        <v>-15750225.334040694</v>
      </c>
      <c r="W10" s="112">
        <f>Impostos!W24</f>
        <v>-16784134.930661604</v>
      </c>
      <c r="X10" s="112">
        <f>Impostos!X24</f>
        <v>-17885930.127459567</v>
      </c>
      <c r="Y10" s="112">
        <f>Impostos!Y24</f>
        <v>-19060079.276372202</v>
      </c>
      <c r="Z10" s="112">
        <f>Impostos!Z24</f>
        <v>-20311327.128619522</v>
      </c>
      <c r="AA10" s="112">
        <f>Impostos!AA24</f>
        <v>-21644743.399571434</v>
      </c>
      <c r="AB10" s="112">
        <f>Impostos!AB24</f>
        <v>-23065722.666112635</v>
      </c>
    </row>
    <row r="11" spans="1:28">
      <c r="A11" s="111" t="s">
        <v>748</v>
      </c>
      <c r="B11" s="370">
        <v>5.0000000000000001E-3</v>
      </c>
      <c r="C11" s="112"/>
      <c r="D11" s="112">
        <f>-D3*$B$11</f>
        <v>-125629.72428496261</v>
      </c>
      <c r="E11" s="112">
        <f t="shared" ref="E11:AB11" si="2">-E3*$B$11</f>
        <v>-133872.81373990708</v>
      </c>
      <c r="F11" s="112">
        <f t="shared" si="2"/>
        <v>-142657.11795234165</v>
      </c>
      <c r="G11" s="112">
        <f t="shared" si="2"/>
        <v>-152018.1629177162</v>
      </c>
      <c r="H11" s="112">
        <f t="shared" si="2"/>
        <v>-161993.87384922209</v>
      </c>
      <c r="I11" s="112">
        <f t="shared" si="2"/>
        <v>-172624.62414802366</v>
      </c>
      <c r="J11" s="112">
        <f t="shared" si="2"/>
        <v>-183953.41075067807</v>
      </c>
      <c r="K11" s="112">
        <f t="shared" si="2"/>
        <v>-196026.16757432281</v>
      </c>
      <c r="L11" s="112">
        <f t="shared" si="2"/>
        <v>-208891.7066598848</v>
      </c>
      <c r="M11" s="112">
        <f t="shared" si="2"/>
        <v>-222602.15654374045</v>
      </c>
      <c r="N11" s="112">
        <f t="shared" si="2"/>
        <v>-237212.98054806446</v>
      </c>
      <c r="O11" s="112">
        <f t="shared" si="2"/>
        <v>-252783.4211665538</v>
      </c>
      <c r="P11" s="112">
        <f t="shared" si="2"/>
        <v>-269376.49122336583</v>
      </c>
      <c r="Q11" s="112">
        <f t="shared" si="2"/>
        <v>-287059.42615160794</v>
      </c>
      <c r="R11" s="112">
        <f t="shared" si="2"/>
        <v>-305903.75585638231</v>
      </c>
      <c r="S11" s="112">
        <f t="shared" si="2"/>
        <v>-325985.86841904576</v>
      </c>
      <c r="T11" s="112">
        <f t="shared" si="2"/>
        <v>-347387.14908978081</v>
      </c>
      <c r="U11" s="112">
        <f t="shared" si="2"/>
        <v>-370194.22528837086</v>
      </c>
      <c r="V11" s="112">
        <f t="shared" si="2"/>
        <v>-394499.49225415097</v>
      </c>
      <c r="W11" s="112">
        <f t="shared" si="2"/>
        <v>-420401.50219095312</v>
      </c>
      <c r="X11" s="112">
        <f t="shared" si="2"/>
        <v>-448005.03443802946</v>
      </c>
      <c r="Y11" s="112">
        <f t="shared" si="2"/>
        <v>-477422.09874269844</v>
      </c>
      <c r="Z11" s="112">
        <f t="shared" si="2"/>
        <v>-508771.75863628351</v>
      </c>
      <c r="AA11" s="112">
        <f t="shared" si="2"/>
        <v>-542181.15007070301</v>
      </c>
      <c r="AB11" s="112">
        <f t="shared" si="2"/>
        <v>-577785.6123645117</v>
      </c>
    </row>
    <row r="12" spans="1:28">
      <c r="A12" s="111" t="s">
        <v>201</v>
      </c>
      <c r="B12" s="120">
        <v>0.03</v>
      </c>
      <c r="C12" s="112">
        <f>-$B$12*C3</f>
        <v>0</v>
      </c>
      <c r="D12" s="112">
        <f t="shared" ref="D12:AB12" si="3">-$B$12*SUM(D5:D7)</f>
        <v>-401663.20652487531</v>
      </c>
      <c r="E12" s="112">
        <f t="shared" si="3"/>
        <v>-427903.25449931459</v>
      </c>
      <c r="F12" s="112">
        <f t="shared" si="3"/>
        <v>-455859.55947092432</v>
      </c>
      <c r="G12" s="112">
        <f t="shared" si="3"/>
        <v>-485644.3327353489</v>
      </c>
      <c r="H12" s="112">
        <f t="shared" si="3"/>
        <v>-517377.51079198241</v>
      </c>
      <c r="I12" s="112">
        <f t="shared" si="3"/>
        <v>-551186.60604336008</v>
      </c>
      <c r="J12" s="112">
        <f t="shared" si="3"/>
        <v>-587207.34392515698</v>
      </c>
      <c r="K12" s="112">
        <f t="shared" si="3"/>
        <v>-625584.98441249714</v>
      </c>
      <c r="L12" s="112">
        <f t="shared" si="3"/>
        <v>-666473.48346920125</v>
      </c>
      <c r="M12" s="112">
        <f t="shared" si="3"/>
        <v>-710037.49460365437</v>
      </c>
      <c r="N12" s="112">
        <f t="shared" si="3"/>
        <v>-756451.9710853023</v>
      </c>
      <c r="O12" s="112">
        <f t="shared" si="3"/>
        <v>-805904.09054913593</v>
      </c>
      <c r="P12" s="112">
        <f t="shared" si="3"/>
        <v>-858592.57010447397</v>
      </c>
      <c r="Q12" s="112">
        <f t="shared" si="3"/>
        <v>-914729.63826143602</v>
      </c>
      <c r="R12" s="112">
        <f t="shared" si="3"/>
        <v>-974540.65678300476</v>
      </c>
      <c r="S12" s="112">
        <f t="shared" si="3"/>
        <v>-1038266.7438100779</v>
      </c>
      <c r="T12" s="112">
        <f t="shared" si="3"/>
        <v>-1106164.6510444668</v>
      </c>
      <c r="U12" s="112">
        <f t="shared" si="3"/>
        <v>-1178507.3169908491</v>
      </c>
      <c r="V12" s="112">
        <f t="shared" si="3"/>
        <v>-1255586.0149232273</v>
      </c>
      <c r="W12" s="112">
        <f t="shared" si="3"/>
        <v>-1337711.5755107466</v>
      </c>
      <c r="X12" s="112">
        <f t="shared" si="3"/>
        <v>-1425213.7595229857</v>
      </c>
      <c r="Y12" s="112">
        <f t="shared" si="3"/>
        <v>-1518445.9868582014</v>
      </c>
      <c r="Z12" s="112">
        <f t="shared" si="3"/>
        <v>-1617782.9490924485</v>
      </c>
      <c r="AA12" s="112">
        <f t="shared" si="3"/>
        <v>-1723625.3741781034</v>
      </c>
      <c r="AB12" s="112">
        <f t="shared" si="3"/>
        <v>-1836399.4155631219</v>
      </c>
    </row>
    <row r="13" spans="1:28">
      <c r="A13" s="109" t="s">
        <v>197</v>
      </c>
      <c r="B13" s="109"/>
      <c r="C13" s="110">
        <f>C3-C8</f>
        <v>0</v>
      </c>
      <c r="D13" s="110">
        <f>D3+D8</f>
        <v>8947354.7574466486</v>
      </c>
      <c r="E13" s="110">
        <f t="shared" ref="E13:AB13" si="4">E3+E8</f>
        <v>7296930.8718763366</v>
      </c>
      <c r="F13" s="110">
        <f t="shared" si="4"/>
        <v>7846067.3384679854</v>
      </c>
      <c r="G13" s="110">
        <f t="shared" si="4"/>
        <v>8435244.8786154464</v>
      </c>
      <c r="H13" s="110">
        <f t="shared" si="4"/>
        <v>9067323.7576774731</v>
      </c>
      <c r="I13" s="110">
        <f t="shared" si="4"/>
        <v>9745358.7225311287</v>
      </c>
      <c r="J13" s="110">
        <f t="shared" si="4"/>
        <v>10472614.185857158</v>
      </c>
      <c r="K13" s="110">
        <f t="shared" si="4"/>
        <v>11252598.599362783</v>
      </c>
      <c r="L13" s="110">
        <f t="shared" si="4"/>
        <v>12089046.118605003</v>
      </c>
      <c r="M13" s="110">
        <f t="shared" si="4"/>
        <v>12985967.099498317</v>
      </c>
      <c r="N13" s="110">
        <f t="shared" si="4"/>
        <v>14911856.713047471</v>
      </c>
      <c r="O13" s="110">
        <f t="shared" si="4"/>
        <v>14978656.154137485</v>
      </c>
      <c r="P13" s="110">
        <f t="shared" si="4"/>
        <v>16083916.450114273</v>
      </c>
      <c r="Q13" s="110">
        <f t="shared" si="4"/>
        <v>17268669.81150566</v>
      </c>
      <c r="R13" s="110">
        <f t="shared" si="4"/>
        <v>18538514.488368921</v>
      </c>
      <c r="S13" s="110">
        <f t="shared" si="4"/>
        <v>19899459.559327267</v>
      </c>
      <c r="T13" s="110">
        <f t="shared" si="4"/>
        <v>21357928.521230526</v>
      </c>
      <c r="U13" s="110">
        <f t="shared" si="4"/>
        <v>22920776.044566877</v>
      </c>
      <c r="V13" s="110">
        <f t="shared" si="4"/>
        <v>24595342.688943818</v>
      </c>
      <c r="W13" s="110">
        <f t="shared" si="4"/>
        <v>26389489.806524962</v>
      </c>
      <c r="X13" s="110">
        <f t="shared" si="4"/>
        <v>28311588.360282838</v>
      </c>
      <c r="Y13" s="110">
        <f t="shared" si="4"/>
        <v>30370636.603467062</v>
      </c>
      <c r="Z13" s="110">
        <f t="shared" si="4"/>
        <v>32576212.77011472</v>
      </c>
      <c r="AA13" s="110">
        <f t="shared" si="4"/>
        <v>34938591.529286921</v>
      </c>
      <c r="AB13" s="110">
        <f t="shared" si="4"/>
        <v>37468735.75493516</v>
      </c>
    </row>
    <row r="14" spans="1:28">
      <c r="A14" s="111" t="s">
        <v>434</v>
      </c>
      <c r="B14" s="117"/>
      <c r="C14" s="112">
        <f>-Depreciação!D7</f>
        <v>0</v>
      </c>
      <c r="D14" s="112">
        <f>-Depreciação!E7</f>
        <v>-2679657.6185916164</v>
      </c>
      <c r="E14" s="112">
        <f>-Depreciação!F7</f>
        <v>-2679657.6185916164</v>
      </c>
      <c r="F14" s="112">
        <f>-Depreciação!G7</f>
        <v>-2679657.6185916164</v>
      </c>
      <c r="G14" s="112">
        <f>-Depreciação!H7</f>
        <v>-2679657.6185916164</v>
      </c>
      <c r="H14" s="112">
        <f>-Depreciação!I7</f>
        <v>-2679657.6185916164</v>
      </c>
      <c r="I14" s="112">
        <f>-Depreciação!J7</f>
        <v>-2679657.6185916164</v>
      </c>
      <c r="J14" s="112">
        <f>-Depreciação!K7</f>
        <v>-2679657.6185916164</v>
      </c>
      <c r="K14" s="112">
        <f>-Depreciação!L7</f>
        <v>-2679657.6185916164</v>
      </c>
      <c r="L14" s="112">
        <f>-Depreciação!M7</f>
        <v>-2679657.6185916164</v>
      </c>
      <c r="M14" s="112">
        <f>-Depreciação!N7</f>
        <v>-2679657.6185916164</v>
      </c>
      <c r="N14" s="112">
        <f>-Depreciação!O7</f>
        <v>-1168706.9041589601</v>
      </c>
      <c r="O14" s="112">
        <f>-Depreciação!P7</f>
        <v>-1168706.9041589601</v>
      </c>
      <c r="P14" s="112">
        <f>-Depreciação!Q7</f>
        <v>-1168706.9041589601</v>
      </c>
      <c r="Q14" s="112">
        <f>-Depreciação!R7</f>
        <v>-1168706.9041589601</v>
      </c>
      <c r="R14" s="112">
        <f>-Depreciação!S7</f>
        <v>-1168706.9041589601</v>
      </c>
      <c r="S14" s="112">
        <f>-Depreciação!T7</f>
        <v>-1168706.9041589601</v>
      </c>
      <c r="T14" s="112">
        <f>-Depreciação!U7</f>
        <v>-1168706.9041589601</v>
      </c>
      <c r="U14" s="112">
        <f>-Depreciação!V7</f>
        <v>-1168706.9041589601</v>
      </c>
      <c r="V14" s="112">
        <f>-Depreciação!W7</f>
        <v>-1168706.9041589601</v>
      </c>
      <c r="W14" s="112">
        <f>-Depreciação!X7</f>
        <v>-1168706.9041589601</v>
      </c>
      <c r="X14" s="112">
        <f>-Depreciação!Y7</f>
        <v>-636642.93945184629</v>
      </c>
      <c r="Y14" s="112">
        <f>-Depreciação!Z7</f>
        <v>-636642.93945184629</v>
      </c>
      <c r="Z14" s="112">
        <f>-Depreciação!AA7</f>
        <v>-636642.93945184629</v>
      </c>
      <c r="AA14" s="112">
        <f>-Depreciação!AB7</f>
        <v>-636642.93945184629</v>
      </c>
      <c r="AB14" s="112">
        <f>-Depreciação!AC7</f>
        <v>-636642.93945184629</v>
      </c>
    </row>
    <row r="15" spans="1:28" hidden="1">
      <c r="A15" s="111" t="s">
        <v>444</v>
      </c>
      <c r="B15" s="117"/>
      <c r="C15" s="115"/>
      <c r="D15" s="112"/>
      <c r="E15" s="112">
        <f t="shared" ref="E15:AB15" si="5">IF(D16&gt;0,0,IF((E13+E14+E18)&lt;0,0,IF((E13+E18+E14)&gt;(-D16*30%),D16*30%,-(E13+E18+E14))))</f>
        <v>0</v>
      </c>
      <c r="F15" s="112">
        <f t="shared" si="5"/>
        <v>0</v>
      </c>
      <c r="G15" s="112">
        <f t="shared" si="5"/>
        <v>0</v>
      </c>
      <c r="H15" s="112">
        <f t="shared" si="5"/>
        <v>0</v>
      </c>
      <c r="I15" s="112">
        <f t="shared" si="5"/>
        <v>0</v>
      </c>
      <c r="J15" s="112">
        <f t="shared" si="5"/>
        <v>0</v>
      </c>
      <c r="K15" s="112">
        <f t="shared" si="5"/>
        <v>0</v>
      </c>
      <c r="L15" s="112">
        <f t="shared" si="5"/>
        <v>0</v>
      </c>
      <c r="M15" s="112">
        <f t="shared" si="5"/>
        <v>0</v>
      </c>
      <c r="N15" s="112">
        <f t="shared" si="5"/>
        <v>0</v>
      </c>
      <c r="O15" s="112">
        <f t="shared" si="5"/>
        <v>0</v>
      </c>
      <c r="P15" s="112">
        <f t="shared" si="5"/>
        <v>0</v>
      </c>
      <c r="Q15" s="112">
        <f t="shared" si="5"/>
        <v>0</v>
      </c>
      <c r="R15" s="112">
        <f t="shared" si="5"/>
        <v>0</v>
      </c>
      <c r="S15" s="112">
        <f t="shared" si="5"/>
        <v>0</v>
      </c>
      <c r="T15" s="112">
        <f t="shared" si="5"/>
        <v>0</v>
      </c>
      <c r="U15" s="112">
        <f t="shared" si="5"/>
        <v>0</v>
      </c>
      <c r="V15" s="112">
        <f t="shared" si="5"/>
        <v>0</v>
      </c>
      <c r="W15" s="112">
        <f t="shared" si="5"/>
        <v>0</v>
      </c>
      <c r="X15" s="112">
        <f t="shared" si="5"/>
        <v>0</v>
      </c>
      <c r="Y15" s="112">
        <f t="shared" si="5"/>
        <v>0</v>
      </c>
      <c r="Z15" s="112">
        <f t="shared" si="5"/>
        <v>0</v>
      </c>
      <c r="AA15" s="112">
        <f t="shared" si="5"/>
        <v>0</v>
      </c>
      <c r="AB15" s="112">
        <f t="shared" si="5"/>
        <v>0</v>
      </c>
    </row>
    <row r="16" spans="1:28" hidden="1">
      <c r="A16" s="111" t="s">
        <v>445</v>
      </c>
      <c r="B16" s="111"/>
      <c r="C16" s="115"/>
      <c r="D16" s="112">
        <f>IF(D19&gt;0,0,D19)</f>
        <v>0</v>
      </c>
      <c r="E16" s="112">
        <f t="shared" ref="E16:AB16" si="6">IF(E19&gt;0,D16-E15,D16-E15+E19)</f>
        <v>0</v>
      </c>
      <c r="F16" s="112">
        <f t="shared" si="6"/>
        <v>0</v>
      </c>
      <c r="G16" s="112">
        <f t="shared" si="6"/>
        <v>0</v>
      </c>
      <c r="H16" s="112">
        <f t="shared" si="6"/>
        <v>0</v>
      </c>
      <c r="I16" s="112">
        <f t="shared" si="6"/>
        <v>0</v>
      </c>
      <c r="J16" s="112">
        <f t="shared" si="6"/>
        <v>0</v>
      </c>
      <c r="K16" s="112">
        <f t="shared" si="6"/>
        <v>0</v>
      </c>
      <c r="L16" s="112">
        <f t="shared" si="6"/>
        <v>0</v>
      </c>
      <c r="M16" s="112">
        <f t="shared" si="6"/>
        <v>0</v>
      </c>
      <c r="N16" s="112">
        <f t="shared" si="6"/>
        <v>0</v>
      </c>
      <c r="O16" s="112">
        <f t="shared" si="6"/>
        <v>0</v>
      </c>
      <c r="P16" s="112">
        <f t="shared" si="6"/>
        <v>0</v>
      </c>
      <c r="Q16" s="112">
        <f t="shared" si="6"/>
        <v>0</v>
      </c>
      <c r="R16" s="112">
        <f t="shared" si="6"/>
        <v>0</v>
      </c>
      <c r="S16" s="112">
        <f t="shared" si="6"/>
        <v>0</v>
      </c>
      <c r="T16" s="112">
        <f t="shared" si="6"/>
        <v>0</v>
      </c>
      <c r="U16" s="112">
        <f t="shared" si="6"/>
        <v>0</v>
      </c>
      <c r="V16" s="112">
        <f t="shared" si="6"/>
        <v>0</v>
      </c>
      <c r="W16" s="112">
        <f t="shared" si="6"/>
        <v>0</v>
      </c>
      <c r="X16" s="112">
        <f t="shared" si="6"/>
        <v>0</v>
      </c>
      <c r="Y16" s="112">
        <f t="shared" si="6"/>
        <v>0</v>
      </c>
      <c r="Z16" s="112">
        <f t="shared" si="6"/>
        <v>0</v>
      </c>
      <c r="AA16" s="112">
        <f t="shared" si="6"/>
        <v>0</v>
      </c>
      <c r="AB16" s="112">
        <f t="shared" si="6"/>
        <v>0</v>
      </c>
    </row>
    <row r="17" spans="1:28">
      <c r="A17" s="109" t="s">
        <v>447</v>
      </c>
      <c r="B17" s="109"/>
      <c r="C17" s="170">
        <f>C13+C14</f>
        <v>0</v>
      </c>
      <c r="D17" s="170">
        <f>D13+D14</f>
        <v>6267697.1388550326</v>
      </c>
      <c r="E17" s="170">
        <f>E13+E14</f>
        <v>4617273.2532847207</v>
      </c>
      <c r="F17" s="170">
        <f t="shared" ref="F17:AB17" si="7">F13+F14</f>
        <v>5166409.7198763695</v>
      </c>
      <c r="G17" s="170">
        <f t="shared" si="7"/>
        <v>5755587.2600238305</v>
      </c>
      <c r="H17" s="170">
        <f t="shared" si="7"/>
        <v>6387666.1390858572</v>
      </c>
      <c r="I17" s="170">
        <f t="shared" si="7"/>
        <v>7065701.1039395127</v>
      </c>
      <c r="J17" s="170">
        <f t="shared" si="7"/>
        <v>7792956.5672655422</v>
      </c>
      <c r="K17" s="170">
        <f t="shared" si="7"/>
        <v>8572940.9807711672</v>
      </c>
      <c r="L17" s="170">
        <f t="shared" si="7"/>
        <v>9409388.5000133868</v>
      </c>
      <c r="M17" s="170">
        <f t="shared" si="7"/>
        <v>10306309.480906701</v>
      </c>
      <c r="N17" s="170">
        <f t="shared" si="7"/>
        <v>13743149.80888851</v>
      </c>
      <c r="O17" s="170">
        <f t="shared" si="7"/>
        <v>13809949.249978524</v>
      </c>
      <c r="P17" s="170">
        <f t="shared" si="7"/>
        <v>14915209.545955312</v>
      </c>
      <c r="Q17" s="170">
        <f t="shared" si="7"/>
        <v>16099962.907346699</v>
      </c>
      <c r="R17" s="170">
        <f t="shared" si="7"/>
        <v>17369807.58420996</v>
      </c>
      <c r="S17" s="170">
        <f t="shared" si="7"/>
        <v>18730752.655168306</v>
      </c>
      <c r="T17" s="170">
        <f t="shared" si="7"/>
        <v>20189221.617071565</v>
      </c>
      <c r="U17" s="170">
        <f t="shared" si="7"/>
        <v>21752069.140407916</v>
      </c>
      <c r="V17" s="170">
        <f t="shared" si="7"/>
        <v>23426635.784784857</v>
      </c>
      <c r="W17" s="170">
        <f t="shared" si="7"/>
        <v>25220782.902366001</v>
      </c>
      <c r="X17" s="170">
        <f t="shared" si="7"/>
        <v>27674945.420830991</v>
      </c>
      <c r="Y17" s="170">
        <f t="shared" si="7"/>
        <v>29733993.664015215</v>
      </c>
      <c r="Z17" s="170">
        <f t="shared" si="7"/>
        <v>31939569.830662873</v>
      </c>
      <c r="AA17" s="170">
        <f t="shared" si="7"/>
        <v>34301948.589835078</v>
      </c>
      <c r="AB17" s="170">
        <f t="shared" si="7"/>
        <v>36832092.815483317</v>
      </c>
    </row>
    <row r="18" spans="1:28">
      <c r="A18" s="111" t="s">
        <v>198</v>
      </c>
      <c r="B18" s="111"/>
      <c r="C18" s="115"/>
      <c r="D18" s="112">
        <f>-'Fin. BNB'!C171</f>
        <v>0</v>
      </c>
      <c r="E18" s="112">
        <f>-'Fin. BNB'!D171</f>
        <v>0</v>
      </c>
      <c r="F18" s="112">
        <f>-'Fin. BNB'!E171</f>
        <v>0</v>
      </c>
      <c r="G18" s="112">
        <f>-'Fin. BNB'!F171</f>
        <v>0</v>
      </c>
      <c r="H18" s="112">
        <f>-'Fin. BNB'!G171</f>
        <v>0</v>
      </c>
      <c r="I18" s="112">
        <f>-'Fin. BNB'!H171</f>
        <v>0</v>
      </c>
      <c r="J18" s="112">
        <f>-'Fin. BNB'!I171</f>
        <v>0</v>
      </c>
      <c r="K18" s="112">
        <f>-'Fin. BNB'!J171</f>
        <v>0</v>
      </c>
      <c r="L18" s="112">
        <f>-'Fin. BNB'!K171</f>
        <v>0</v>
      </c>
      <c r="M18" s="112">
        <f>-'Fin. BNB'!L171</f>
        <v>0</v>
      </c>
      <c r="N18" s="112">
        <f>-'Fin. BNB'!M171</f>
        <v>0</v>
      </c>
      <c r="O18" s="112">
        <f>-'Fin. BNB'!N171</f>
        <v>0</v>
      </c>
      <c r="P18" s="112">
        <f>-'Fin. BNB'!O171</f>
        <v>0</v>
      </c>
      <c r="Q18" s="112">
        <f>-'Fin. BNB'!P171</f>
        <v>0</v>
      </c>
      <c r="R18" s="112">
        <f>-'Fin. BNB'!Q171</f>
        <v>0</v>
      </c>
      <c r="S18" s="112">
        <f>-'Fin. BNB'!R171</f>
        <v>0</v>
      </c>
      <c r="T18" s="112">
        <f>-'Fin. BNB'!S171</f>
        <v>0</v>
      </c>
      <c r="U18" s="112">
        <f>-'Fin. BNB'!T171</f>
        <v>0</v>
      </c>
      <c r="V18" s="112">
        <f>-'Fin. BNB'!U171</f>
        <v>0</v>
      </c>
      <c r="W18" s="112">
        <f>-'Fin. BNB'!V171</f>
        <v>0</v>
      </c>
      <c r="X18" s="112">
        <f>-'Fin. BNB'!W171</f>
        <v>0</v>
      </c>
      <c r="Y18" s="112">
        <f>-'Fin. BNB'!X171</f>
        <v>0</v>
      </c>
      <c r="Z18" s="112">
        <f>-'Fin. BNB'!Y171</f>
        <v>0</v>
      </c>
      <c r="AA18" s="112">
        <f>-'Fin. BNB'!Z171</f>
        <v>0</v>
      </c>
      <c r="AB18" s="112">
        <f>-'Fin. BNB'!AA171</f>
        <v>0</v>
      </c>
    </row>
    <row r="19" spans="1:28">
      <c r="A19" s="109" t="s">
        <v>448</v>
      </c>
      <c r="B19" s="109"/>
      <c r="C19" s="110">
        <f>C13-C18-C14</f>
        <v>0</v>
      </c>
      <c r="D19" s="110">
        <f t="shared" ref="D19:AB19" si="8">D13+D18+D14</f>
        <v>6267697.1388550326</v>
      </c>
      <c r="E19" s="110">
        <f t="shared" si="8"/>
        <v>4617273.2532847207</v>
      </c>
      <c r="F19" s="110">
        <f t="shared" si="8"/>
        <v>5166409.7198763695</v>
      </c>
      <c r="G19" s="110">
        <f t="shared" si="8"/>
        <v>5755587.2600238305</v>
      </c>
      <c r="H19" s="110">
        <f t="shared" si="8"/>
        <v>6387666.1390858572</v>
      </c>
      <c r="I19" s="110">
        <f t="shared" si="8"/>
        <v>7065701.1039395127</v>
      </c>
      <c r="J19" s="110">
        <f t="shared" si="8"/>
        <v>7792956.5672655422</v>
      </c>
      <c r="K19" s="110">
        <f t="shared" si="8"/>
        <v>8572940.9807711672</v>
      </c>
      <c r="L19" s="110">
        <f t="shared" si="8"/>
        <v>9409388.5000133868</v>
      </c>
      <c r="M19" s="110">
        <f t="shared" si="8"/>
        <v>10306309.480906701</v>
      </c>
      <c r="N19" s="110">
        <f t="shared" si="8"/>
        <v>13743149.80888851</v>
      </c>
      <c r="O19" s="110">
        <f t="shared" si="8"/>
        <v>13809949.249978524</v>
      </c>
      <c r="P19" s="110">
        <f t="shared" si="8"/>
        <v>14915209.545955312</v>
      </c>
      <c r="Q19" s="110">
        <f t="shared" si="8"/>
        <v>16099962.907346699</v>
      </c>
      <c r="R19" s="110">
        <f t="shared" si="8"/>
        <v>17369807.58420996</v>
      </c>
      <c r="S19" s="110">
        <f t="shared" si="8"/>
        <v>18730752.655168306</v>
      </c>
      <c r="T19" s="110">
        <f t="shared" si="8"/>
        <v>20189221.617071565</v>
      </c>
      <c r="U19" s="110">
        <f t="shared" si="8"/>
        <v>21752069.140407916</v>
      </c>
      <c r="V19" s="110">
        <f t="shared" si="8"/>
        <v>23426635.784784857</v>
      </c>
      <c r="W19" s="110">
        <f t="shared" si="8"/>
        <v>25220782.902366001</v>
      </c>
      <c r="X19" s="110">
        <f t="shared" si="8"/>
        <v>27674945.420830991</v>
      </c>
      <c r="Y19" s="110">
        <f t="shared" si="8"/>
        <v>29733993.664015215</v>
      </c>
      <c r="Z19" s="110">
        <f t="shared" si="8"/>
        <v>31939569.830662873</v>
      </c>
      <c r="AA19" s="110">
        <f t="shared" si="8"/>
        <v>34301948.589835078</v>
      </c>
      <c r="AB19" s="110">
        <f t="shared" si="8"/>
        <v>36832092.815483317</v>
      </c>
    </row>
    <row r="20" spans="1:28">
      <c r="A20" s="116" t="s">
        <v>199</v>
      </c>
      <c r="B20" s="117">
        <v>0.34</v>
      </c>
      <c r="C20" s="112">
        <f>Impostos!C31</f>
        <v>0</v>
      </c>
      <c r="D20" s="112">
        <f>Impostos!D31</f>
        <v>-2131017.027210711</v>
      </c>
      <c r="E20" s="112">
        <f>Impostos!E31</f>
        <v>-1569872.906116805</v>
      </c>
      <c r="F20" s="112">
        <f>Impostos!F31</f>
        <v>-1756579.3047579657</v>
      </c>
      <c r="G20" s="112">
        <f>Impostos!G31</f>
        <v>-1956899.6684081026</v>
      </c>
      <c r="H20" s="112">
        <f>Impostos!H31</f>
        <v>-2171806.4872891917</v>
      </c>
      <c r="I20" s="112">
        <f>Impostos!I31</f>
        <v>-2402338.3753394345</v>
      </c>
      <c r="J20" s="112">
        <f>Impostos!J31</f>
        <v>-2649605.2328702845</v>
      </c>
      <c r="K20" s="112">
        <f>Impostos!K31</f>
        <v>-2914799.933462197</v>
      </c>
      <c r="L20" s="112">
        <f>Impostos!L31</f>
        <v>-3199192.0900045517</v>
      </c>
      <c r="M20" s="112">
        <f>Impostos!M31</f>
        <v>-3504145.2235082784</v>
      </c>
      <c r="N20" s="112">
        <f>Impostos!N31</f>
        <v>-4672670.9350220934</v>
      </c>
      <c r="O20" s="112">
        <f>Impostos!O31</f>
        <v>-4695382.7449926985</v>
      </c>
      <c r="P20" s="112">
        <f>Impostos!P31</f>
        <v>-5071171.2456248067</v>
      </c>
      <c r="Q20" s="112">
        <f>Impostos!Q31</f>
        <v>-5473987.3884978779</v>
      </c>
      <c r="R20" s="112">
        <f>Impostos!R31</f>
        <v>-5905734.5786313871</v>
      </c>
      <c r="S20" s="112">
        <f>Impostos!S31</f>
        <v>-6368455.9027572246</v>
      </c>
      <c r="T20" s="112">
        <f>Impostos!T31</f>
        <v>-6864335.3498043325</v>
      </c>
      <c r="U20" s="112">
        <f>Impostos!U31</f>
        <v>-7395703.5077386918</v>
      </c>
      <c r="V20" s="112">
        <f>Impostos!V31</f>
        <v>-7965056.1668268517</v>
      </c>
      <c r="W20" s="112">
        <f>Impostos!W31</f>
        <v>-8575066.1868044417</v>
      </c>
      <c r="X20" s="112">
        <f>Impostos!X31</f>
        <v>-9409481.4430825375</v>
      </c>
      <c r="Y20" s="112">
        <f>Impostos!Y31</f>
        <v>-10109557.845765173</v>
      </c>
      <c r="Z20" s="112">
        <f>Impostos!Z31</f>
        <v>-10859453.742425377</v>
      </c>
      <c r="AA20" s="112">
        <f>Impostos!AA31</f>
        <v>-11662662.520543927</v>
      </c>
      <c r="AB20" s="112">
        <f>Impostos!AB31</f>
        <v>-12522911.557264328</v>
      </c>
    </row>
    <row r="21" spans="1:28">
      <c r="A21" s="109" t="s">
        <v>200</v>
      </c>
      <c r="B21" s="109"/>
      <c r="C21" s="110">
        <f>C19-C20</f>
        <v>0</v>
      </c>
      <c r="D21" s="110">
        <f>D19+D20</f>
        <v>4136680.1116443216</v>
      </c>
      <c r="E21" s="110">
        <f t="shared" ref="E21:AB21" si="9">E19+E20</f>
        <v>3047400.3471679157</v>
      </c>
      <c r="F21" s="110">
        <f t="shared" si="9"/>
        <v>3409830.4151184037</v>
      </c>
      <c r="G21" s="110">
        <f t="shared" si="9"/>
        <v>3798687.5916157281</v>
      </c>
      <c r="H21" s="110">
        <f t="shared" si="9"/>
        <v>4215859.651796665</v>
      </c>
      <c r="I21" s="110">
        <f t="shared" si="9"/>
        <v>4663362.7286000783</v>
      </c>
      <c r="J21" s="110">
        <f t="shared" si="9"/>
        <v>5143351.3343952578</v>
      </c>
      <c r="K21" s="110">
        <f t="shared" si="9"/>
        <v>5658141.0473089702</v>
      </c>
      <c r="L21" s="110">
        <f t="shared" si="9"/>
        <v>6210196.4100088347</v>
      </c>
      <c r="M21" s="110">
        <f t="shared" si="9"/>
        <v>6802164.2573984228</v>
      </c>
      <c r="N21" s="110">
        <f t="shared" si="9"/>
        <v>9070478.8738664165</v>
      </c>
      <c r="O21" s="110">
        <f t="shared" si="9"/>
        <v>9114566.5049858242</v>
      </c>
      <c r="P21" s="110">
        <f t="shared" si="9"/>
        <v>9844038.3003305048</v>
      </c>
      <c r="Q21" s="110">
        <f t="shared" si="9"/>
        <v>10625975.518848822</v>
      </c>
      <c r="R21" s="110">
        <f t="shared" si="9"/>
        <v>11464073.005578574</v>
      </c>
      <c r="S21" s="110">
        <f t="shared" si="9"/>
        <v>12362296.752411082</v>
      </c>
      <c r="T21" s="110">
        <f t="shared" si="9"/>
        <v>13324886.267267233</v>
      </c>
      <c r="U21" s="110">
        <f t="shared" si="9"/>
        <v>14356365.632669225</v>
      </c>
      <c r="V21" s="110">
        <f t="shared" si="9"/>
        <v>15461579.617958006</v>
      </c>
      <c r="W21" s="110">
        <f t="shared" si="9"/>
        <v>16645716.715561559</v>
      </c>
      <c r="X21" s="110">
        <f t="shared" si="9"/>
        <v>18265463.977748454</v>
      </c>
      <c r="Y21" s="110">
        <f t="shared" si="9"/>
        <v>19624435.818250041</v>
      </c>
      <c r="Z21" s="110">
        <f t="shared" si="9"/>
        <v>21080116.088237494</v>
      </c>
      <c r="AA21" s="110">
        <f t="shared" si="9"/>
        <v>22639286.069291152</v>
      </c>
      <c r="AB21" s="110">
        <f t="shared" si="9"/>
        <v>24309181.258218989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46"/>
  <sheetViews>
    <sheetView topLeftCell="B1" zoomScale="104" workbookViewId="0">
      <selection activeCell="D14" sqref="D14"/>
    </sheetView>
  </sheetViews>
  <sheetFormatPr baseColWidth="10" defaultColWidth="8.83203125" defaultRowHeight="15"/>
  <cols>
    <col min="1" max="1" width="0" hidden="1" customWidth="1"/>
    <col min="2" max="2" width="42.5" bestFit="1" customWidth="1"/>
    <col min="3" max="3" width="2.1640625" hidden="1" customWidth="1"/>
    <col min="4" max="11" width="12" bestFit="1" customWidth="1"/>
    <col min="12" max="12" width="12" customWidth="1"/>
    <col min="13" max="28" width="12" bestFit="1" customWidth="1"/>
    <col min="29" max="29" width="10.83203125" bestFit="1" customWidth="1"/>
  </cols>
  <sheetData>
    <row r="1" spans="1:29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29" ht="33">
      <c r="A2" s="208"/>
      <c r="B2" s="209" t="s">
        <v>424</v>
      </c>
      <c r="C2" s="208"/>
      <c r="D2" s="210"/>
      <c r="E2" s="208"/>
      <c r="F2" s="208"/>
      <c r="G2" s="208"/>
      <c r="H2" s="208"/>
      <c r="I2" s="208"/>
      <c r="J2" s="208"/>
      <c r="K2" s="208"/>
      <c r="L2" s="208"/>
    </row>
    <row r="3" spans="1:29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29">
      <c r="A4" s="208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29">
      <c r="A5" s="208"/>
      <c r="B5" s="212"/>
      <c r="C5" s="212"/>
      <c r="D5" s="230">
        <v>0</v>
      </c>
      <c r="E5" s="230">
        <v>1</v>
      </c>
      <c r="F5" s="230">
        <v>2</v>
      </c>
      <c r="G5" s="230">
        <v>3</v>
      </c>
      <c r="H5" s="230">
        <v>4</v>
      </c>
      <c r="I5" s="230">
        <v>5</v>
      </c>
      <c r="J5" s="230">
        <v>6</v>
      </c>
      <c r="K5" s="230">
        <v>7</v>
      </c>
      <c r="L5" s="230">
        <v>8</v>
      </c>
      <c r="M5" s="230">
        <v>9</v>
      </c>
      <c r="N5" s="230">
        <v>10</v>
      </c>
      <c r="O5" s="230">
        <v>11</v>
      </c>
      <c r="P5" s="230">
        <v>12</v>
      </c>
      <c r="Q5" s="230">
        <v>13</v>
      </c>
      <c r="R5" s="230">
        <v>14</v>
      </c>
      <c r="S5" s="230">
        <v>15</v>
      </c>
      <c r="T5" s="230">
        <v>16</v>
      </c>
      <c r="U5" s="230">
        <v>17</v>
      </c>
      <c r="V5" s="230">
        <v>18</v>
      </c>
      <c r="W5" s="230">
        <v>19</v>
      </c>
      <c r="X5" s="230">
        <v>20</v>
      </c>
      <c r="Y5" s="230">
        <v>21</v>
      </c>
      <c r="Z5" s="230">
        <v>22</v>
      </c>
      <c r="AA5" s="230">
        <v>23</v>
      </c>
      <c r="AB5" s="230">
        <v>24</v>
      </c>
      <c r="AC5" s="230">
        <v>25</v>
      </c>
    </row>
    <row r="6" spans="1:29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29">
      <c r="A7" s="208"/>
      <c r="B7" s="213" t="s">
        <v>480</v>
      </c>
      <c r="C7" s="211"/>
      <c r="D7" s="231">
        <v>365</v>
      </c>
      <c r="E7" s="231">
        <v>365</v>
      </c>
      <c r="F7" s="231">
        <f>+E7</f>
        <v>365</v>
      </c>
      <c r="G7" s="231">
        <v>366</v>
      </c>
      <c r="H7" s="231">
        <v>365</v>
      </c>
      <c r="I7" s="231">
        <f>+H7</f>
        <v>365</v>
      </c>
      <c r="J7" s="231">
        <f>+I7</f>
        <v>365</v>
      </c>
      <c r="K7" s="231">
        <v>366</v>
      </c>
      <c r="L7" s="231">
        <v>365</v>
      </c>
      <c r="M7" s="231">
        <v>366</v>
      </c>
      <c r="N7" s="231">
        <v>367</v>
      </c>
      <c r="O7" s="231">
        <v>368</v>
      </c>
      <c r="P7" s="231">
        <v>369</v>
      </c>
      <c r="Q7" s="231">
        <v>370</v>
      </c>
      <c r="R7" s="231">
        <v>371</v>
      </c>
      <c r="S7" s="231">
        <v>372</v>
      </c>
      <c r="T7" s="231">
        <v>373</v>
      </c>
      <c r="U7" s="231">
        <v>374</v>
      </c>
      <c r="V7" s="231">
        <v>375</v>
      </c>
      <c r="W7" s="231">
        <v>376</v>
      </c>
      <c r="X7" s="231">
        <v>377</v>
      </c>
      <c r="Y7" s="231">
        <v>378</v>
      </c>
      <c r="Z7" s="231">
        <v>379</v>
      </c>
      <c r="AA7" s="231">
        <v>380</v>
      </c>
      <c r="AB7" s="231">
        <v>381</v>
      </c>
      <c r="AC7" s="231">
        <v>382</v>
      </c>
    </row>
    <row r="8" spans="1:29">
      <c r="A8" s="208"/>
      <c r="B8" s="214" t="s">
        <v>481</v>
      </c>
      <c r="C8" s="208"/>
      <c r="D8" s="232">
        <f>DRE!D3+DRE!D10</f>
        <v>22272074.687735103</v>
      </c>
      <c r="E8" s="232">
        <f>DRE!E3+DRE!E10</f>
        <v>21429359.992949247</v>
      </c>
      <c r="F8" s="232">
        <f>DRE!F3+DRE!F10</f>
        <v>22835464.95865117</v>
      </c>
      <c r="G8" s="232">
        <f>DRE!G3+DRE!G10</f>
        <v>24333893.907590553</v>
      </c>
      <c r="H8" s="232">
        <f>DRE!H3+DRE!H10</f>
        <v>25930718.031907551</v>
      </c>
      <c r="I8" s="232">
        <f>DRE!I3+DRE!I10</f>
        <v>27632401.229936406</v>
      </c>
      <c r="J8" s="232">
        <f>DRE!J3+DRE!J10</f>
        <v>29445827.790607788</v>
      </c>
      <c r="K8" s="232">
        <f>DRE!K3+DRE!K10</f>
        <v>31378350.820702128</v>
      </c>
      <c r="L8" s="232">
        <f>DRE!L3+DRE!L10</f>
        <v>33437786.208921209</v>
      </c>
      <c r="M8" s="232">
        <f>DRE!M3+DRE!M10</f>
        <v>35632479.585626751</v>
      </c>
      <c r="N8" s="232">
        <f>DRE!N3+DRE!N10</f>
        <v>38935529.460223019</v>
      </c>
      <c r="O8" s="232">
        <f>DRE!O3+DRE!O10</f>
        <v>40463766.635433361</v>
      </c>
      <c r="P8" s="232">
        <f>DRE!P3+DRE!P10</f>
        <v>43119934.152046293</v>
      </c>
      <c r="Q8" s="232">
        <f>DRE!Q3+DRE!Q10</f>
        <v>45950578.94995027</v>
      </c>
      <c r="R8" s="232">
        <f>DRE!R3+DRE!R10</f>
        <v>48967155.427328534</v>
      </c>
      <c r="S8" s="232">
        <f>DRE!S3+DRE!S10</f>
        <v>52181893.619752951</v>
      </c>
      <c r="T8" s="232">
        <f>DRE!T3+DRE!T10</f>
        <v>55607824.27895008</v>
      </c>
      <c r="U8" s="232">
        <f>DRE!U3+DRE!U10</f>
        <v>59258819.249518588</v>
      </c>
      <c r="V8" s="232">
        <f>DRE!V3+DRE!V10</f>
        <v>63149673.116789497</v>
      </c>
      <c r="W8" s="232">
        <f>DRE!W3+DRE!W10</f>
        <v>67296165.50752902</v>
      </c>
      <c r="X8" s="232">
        <f>DRE!X3+DRE!X10</f>
        <v>71715076.76014632</v>
      </c>
      <c r="Y8" s="232">
        <f>DRE!Y3+DRE!Y10</f>
        <v>76424340.472167492</v>
      </c>
      <c r="Z8" s="232">
        <f>DRE!Z3+DRE!Z10</f>
        <v>81443024.598637179</v>
      </c>
      <c r="AA8" s="232">
        <f>DRE!AA3+DRE!AA10</f>
        <v>86791486.614569157</v>
      </c>
      <c r="AB8" s="232">
        <f>DRE!AB3+DRE!AB10</f>
        <v>92491399.806789696</v>
      </c>
      <c r="AC8" s="232">
        <f>DRE!AC3+DRE!AC10</f>
        <v>0</v>
      </c>
    </row>
    <row r="9" spans="1:29">
      <c r="A9" s="208"/>
      <c r="B9" s="215" t="s">
        <v>482</v>
      </c>
      <c r="C9" s="216"/>
      <c r="D9" s="232">
        <f>DRE!D9+DRE!D12</f>
        <v>-13199090.206003491</v>
      </c>
      <c r="E9" s="232">
        <f>DRE!E9+DRE!E12</f>
        <v>-13998556.307333</v>
      </c>
      <c r="F9" s="232">
        <f>DRE!F9+DRE!F12</f>
        <v>-14846740.50223084</v>
      </c>
      <c r="G9" s="232">
        <f>DRE!G9+DRE!G12</f>
        <v>-15746630.866057388</v>
      </c>
      <c r="H9" s="232">
        <f>DRE!H9+DRE!H12</f>
        <v>-16701400.400380855</v>
      </c>
      <c r="I9" s="232">
        <f>DRE!I9+DRE!I12</f>
        <v>-17714417.883257255</v>
      </c>
      <c r="J9" s="232">
        <f>DRE!J9+DRE!J12</f>
        <v>-18789260.19399995</v>
      </c>
      <c r="K9" s="232">
        <f>DRE!K9+DRE!K12</f>
        <v>-19929726.053765025</v>
      </c>
      <c r="L9" s="232">
        <f>DRE!L9+DRE!L12</f>
        <v>-21139848.383656323</v>
      </c>
      <c r="M9" s="232">
        <f>DRE!M9+DRE!M12</f>
        <v>-22423910.329584695</v>
      </c>
      <c r="N9" s="232">
        <f>DRE!N9+DRE!N12</f>
        <v>-23786459.766627487</v>
      </c>
      <c r="O9" s="232">
        <f>DRE!O9+DRE!O12</f>
        <v>-25232327.060129326</v>
      </c>
      <c r="P9" s="232">
        <f>DRE!P9+DRE!P12</f>
        <v>-26766641.210708652</v>
      </c>
      <c r="Q9" s="232">
        <f>DRE!Q9+DRE!Q12</f>
        <v>-28394849.712292999</v>
      </c>
      <c r="R9" s="232">
        <f>DRE!R9+DRE!R12</f>
        <v>-30122737.18310323</v>
      </c>
      <c r="S9" s="232">
        <f>DRE!S9+DRE!S12</f>
        <v>-31956448.19200664</v>
      </c>
      <c r="T9" s="232">
        <f>DRE!T9+DRE!T12</f>
        <v>-33902508.608629771</v>
      </c>
      <c r="U9" s="232">
        <f>DRE!U9+DRE!U12</f>
        <v>-35967848.97966335</v>
      </c>
      <c r="V9" s="232">
        <f>DRE!V9+DRE!V12</f>
        <v>-38159830.935591526</v>
      </c>
      <c r="W9" s="232">
        <f>DRE!W9+DRE!W12</f>
        <v>-40486274.198813103</v>
      </c>
      <c r="X9" s="232">
        <f>DRE!X9+DRE!X12</f>
        <v>-42955483.365425453</v>
      </c>
      <c r="Y9" s="232">
        <f>DRE!Y9+DRE!Y12</f>
        <v>-45576281.769957721</v>
      </c>
      <c r="Z9" s="232">
        <f>DRE!Z9+DRE!Z12</f>
        <v>-48358040.069886178</v>
      </c>
      <c r="AA9" s="232">
        <f>DRE!AA9+DRE!AA12</f>
        <v>-51310713.935211547</v>
      </c>
      <c r="AB9" s="232">
        <f>DRE!AB9+DRE!AB12</f>
        <v>-54444878.43949002</v>
      </c>
      <c r="AC9" s="232">
        <f>DRE!AC9+DRE!AC12</f>
        <v>0</v>
      </c>
    </row>
    <row r="10" spans="1:29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>
      <c r="A11" s="208"/>
      <c r="B11" s="208" t="e">
        <f>+[2]BP!B12</f>
        <v>#REF!</v>
      </c>
      <c r="C11" s="208"/>
      <c r="D11" s="217">
        <f>+D12*D$8/D$7</f>
        <v>3478104.8142490434</v>
      </c>
      <c r="E11" s="217">
        <f t="shared" ref="E11:AC11" si="0">+E12*E$8/E$7</f>
        <v>3346502.7934194715</v>
      </c>
      <c r="F11" s="217">
        <f t="shared" si="0"/>
        <v>3566086.3086112789</v>
      </c>
      <c r="G11" s="217">
        <f t="shared" si="0"/>
        <v>3789704.7888870533</v>
      </c>
      <c r="H11" s="217">
        <f t="shared" si="0"/>
        <v>4049454.5967636448</v>
      </c>
      <c r="I11" s="217">
        <f t="shared" si="0"/>
        <v>4315196.9044010276</v>
      </c>
      <c r="J11" s="217">
        <f t="shared" si="0"/>
        <v>4598389.5453825863</v>
      </c>
      <c r="K11" s="217">
        <f t="shared" si="0"/>
        <v>4886792.3409290193</v>
      </c>
      <c r="L11" s="217">
        <f t="shared" si="0"/>
        <v>5221791.2709822161</v>
      </c>
      <c r="M11" s="217">
        <f t="shared" si="0"/>
        <v>5549320.5912041664</v>
      </c>
      <c r="N11" s="217">
        <f t="shared" si="0"/>
        <v>6047207.5728411777</v>
      </c>
      <c r="O11" s="217">
        <f t="shared" si="0"/>
        <v>6267485.5929883197</v>
      </c>
      <c r="P11" s="217">
        <f t="shared" si="0"/>
        <v>6660802.8364949562</v>
      </c>
      <c r="Q11" s="217">
        <f t="shared" si="0"/>
        <v>7078872.9733707169</v>
      </c>
      <c r="R11" s="217">
        <f t="shared" si="0"/>
        <v>7523255.6856003413</v>
      </c>
      <c r="S11" s="217">
        <f t="shared" si="0"/>
        <v>7995612.73205892</v>
      </c>
      <c r="T11" s="217">
        <f t="shared" si="0"/>
        <v>8497710.4126009513</v>
      </c>
      <c r="U11" s="217">
        <f t="shared" si="0"/>
        <v>9031424.3241244908</v>
      </c>
      <c r="V11" s="217">
        <f t="shared" si="0"/>
        <v>9598750.3137520049</v>
      </c>
      <c r="W11" s="217">
        <f t="shared" si="0"/>
        <v>10201812.324279666</v>
      </c>
      <c r="X11" s="217">
        <f t="shared" si="0"/>
        <v>10842863.064531406</v>
      </c>
      <c r="Y11" s="217">
        <f t="shared" si="0"/>
        <v>11524305.309295099</v>
      </c>
      <c r="Z11" s="217">
        <f t="shared" si="0"/>
        <v>12248687.076839892</v>
      </c>
      <c r="AA11" s="217">
        <f t="shared" si="0"/>
        <v>13018722.992185375</v>
      </c>
      <c r="AB11" s="217">
        <f t="shared" si="0"/>
        <v>13837296.034086648</v>
      </c>
      <c r="AC11" s="217">
        <f t="shared" si="0"/>
        <v>0</v>
      </c>
    </row>
    <row r="12" spans="1:29">
      <c r="A12" s="208"/>
      <c r="B12" s="208" t="s">
        <v>483</v>
      </c>
      <c r="C12" s="208"/>
      <c r="D12" s="218">
        <v>57</v>
      </c>
      <c r="E12" s="217">
        <f t="shared" ref="E12:L12" si="1">+D12</f>
        <v>57</v>
      </c>
      <c r="F12" s="217">
        <f t="shared" si="1"/>
        <v>57</v>
      </c>
      <c r="G12" s="217">
        <f t="shared" si="1"/>
        <v>57</v>
      </c>
      <c r="H12" s="217">
        <f t="shared" si="1"/>
        <v>57</v>
      </c>
      <c r="I12" s="217">
        <f t="shared" si="1"/>
        <v>57</v>
      </c>
      <c r="J12" s="217">
        <f t="shared" si="1"/>
        <v>57</v>
      </c>
      <c r="K12" s="217">
        <f t="shared" si="1"/>
        <v>57</v>
      </c>
      <c r="L12" s="217">
        <f t="shared" si="1"/>
        <v>57</v>
      </c>
      <c r="M12" s="217">
        <f t="shared" ref="M12" si="2">+L12</f>
        <v>57</v>
      </c>
      <c r="N12" s="217">
        <f t="shared" ref="N12" si="3">+M12</f>
        <v>57</v>
      </c>
      <c r="O12" s="217">
        <f t="shared" ref="O12" si="4">+N12</f>
        <v>57</v>
      </c>
      <c r="P12" s="217">
        <f t="shared" ref="P12" si="5">+O12</f>
        <v>57</v>
      </c>
      <c r="Q12" s="217">
        <f t="shared" ref="Q12" si="6">+P12</f>
        <v>57</v>
      </c>
      <c r="R12" s="217">
        <f t="shared" ref="R12" si="7">+Q12</f>
        <v>57</v>
      </c>
      <c r="S12" s="217">
        <f t="shared" ref="S12" si="8">+R12</f>
        <v>57</v>
      </c>
      <c r="T12" s="217">
        <f t="shared" ref="T12" si="9">+S12</f>
        <v>57</v>
      </c>
      <c r="U12" s="217">
        <f t="shared" ref="U12" si="10">+T12</f>
        <v>57</v>
      </c>
      <c r="V12" s="217">
        <f t="shared" ref="V12" si="11">+U12</f>
        <v>57</v>
      </c>
      <c r="W12" s="217">
        <f t="shared" ref="W12" si="12">+V12</f>
        <v>57</v>
      </c>
      <c r="X12" s="217">
        <f t="shared" ref="X12" si="13">+W12</f>
        <v>57</v>
      </c>
      <c r="Y12" s="217">
        <f t="shared" ref="Y12" si="14">+X12</f>
        <v>57</v>
      </c>
      <c r="Z12" s="217">
        <f t="shared" ref="Z12" si="15">+Y12</f>
        <v>57</v>
      </c>
      <c r="AA12" s="217">
        <f t="shared" ref="AA12" si="16">+Z12</f>
        <v>57</v>
      </c>
      <c r="AB12" s="217">
        <f t="shared" ref="AB12:AC12" si="17">+AA12</f>
        <v>57</v>
      </c>
      <c r="AC12" s="217">
        <f t="shared" si="17"/>
        <v>57</v>
      </c>
    </row>
    <row r="13" spans="1:29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</row>
    <row r="14" spans="1:29">
      <c r="A14" s="208"/>
      <c r="B14" s="208" t="e">
        <f>+[2]BP!B13</f>
        <v>#REF!</v>
      </c>
      <c r="C14" s="208"/>
      <c r="D14" s="217">
        <f>-D15*D$9/D$7</f>
        <v>180809.45487676014</v>
      </c>
      <c r="E14" s="217">
        <f t="shared" ref="E14:AC14" si="18">-E15*E$9/E$7</f>
        <v>191761.04530593148</v>
      </c>
      <c r="F14" s="217">
        <f t="shared" si="18"/>
        <v>203380.00687987453</v>
      </c>
      <c r="G14" s="217">
        <f t="shared" si="18"/>
        <v>215117.9080062485</v>
      </c>
      <c r="H14" s="217">
        <f t="shared" si="18"/>
        <v>228786.30685453227</v>
      </c>
      <c r="I14" s="217">
        <f t="shared" si="18"/>
        <v>242663.25867475691</v>
      </c>
      <c r="J14" s="217">
        <f t="shared" si="18"/>
        <v>257387.12594520478</v>
      </c>
      <c r="K14" s="217">
        <f t="shared" si="18"/>
        <v>272264.01712793752</v>
      </c>
      <c r="L14" s="217">
        <f t="shared" si="18"/>
        <v>289586.96415967564</v>
      </c>
      <c r="M14" s="217">
        <f t="shared" si="18"/>
        <v>306337.57280853408</v>
      </c>
      <c r="N14" s="217">
        <f t="shared" si="18"/>
        <v>324066.2093545979</v>
      </c>
      <c r="O14" s="217">
        <f t="shared" si="18"/>
        <v>342830.53070827888</v>
      </c>
      <c r="P14" s="217">
        <f t="shared" si="18"/>
        <v>362691.61532125541</v>
      </c>
      <c r="Q14" s="217">
        <f t="shared" si="18"/>
        <v>383714.18530125672</v>
      </c>
      <c r="R14" s="217">
        <f t="shared" si="18"/>
        <v>405966.8083976176</v>
      </c>
      <c r="S14" s="217">
        <f t="shared" si="18"/>
        <v>429522.15311836882</v>
      </c>
      <c r="T14" s="217">
        <f t="shared" si="18"/>
        <v>454457.21995482262</v>
      </c>
      <c r="U14" s="217">
        <f t="shared" si="18"/>
        <v>480853.59598480409</v>
      </c>
      <c r="V14" s="217">
        <f t="shared" si="18"/>
        <v>508797.745807887</v>
      </c>
      <c r="W14" s="217">
        <f t="shared" si="18"/>
        <v>538381.30583528068</v>
      </c>
      <c r="X14" s="217">
        <f t="shared" si="18"/>
        <v>569701.37089423684</v>
      </c>
      <c r="Y14" s="217">
        <f t="shared" si="18"/>
        <v>602860.8699729857</v>
      </c>
      <c r="Z14" s="217">
        <f t="shared" si="18"/>
        <v>637968.86635733745</v>
      </c>
      <c r="AA14" s="217">
        <f t="shared" si="18"/>
        <v>675140.97283173085</v>
      </c>
      <c r="AB14" s="217">
        <f t="shared" si="18"/>
        <v>714499.71705367486</v>
      </c>
      <c r="AC14" s="217">
        <f t="shared" si="18"/>
        <v>0</v>
      </c>
    </row>
    <row r="15" spans="1:29">
      <c r="A15" s="208"/>
      <c r="B15" s="208" t="s">
        <v>484</v>
      </c>
      <c r="C15" s="208"/>
      <c r="D15" s="218">
        <v>5</v>
      </c>
      <c r="E15" s="217">
        <f t="shared" ref="E15:L15" si="19">+D15</f>
        <v>5</v>
      </c>
      <c r="F15" s="217">
        <f t="shared" si="19"/>
        <v>5</v>
      </c>
      <c r="G15" s="217">
        <f t="shared" si="19"/>
        <v>5</v>
      </c>
      <c r="H15" s="217">
        <f t="shared" si="19"/>
        <v>5</v>
      </c>
      <c r="I15" s="217">
        <f t="shared" si="19"/>
        <v>5</v>
      </c>
      <c r="J15" s="217">
        <f t="shared" si="19"/>
        <v>5</v>
      </c>
      <c r="K15" s="217">
        <f t="shared" si="19"/>
        <v>5</v>
      </c>
      <c r="L15" s="217">
        <f t="shared" si="19"/>
        <v>5</v>
      </c>
      <c r="M15" s="217">
        <f t="shared" ref="M15" si="20">+L15</f>
        <v>5</v>
      </c>
      <c r="N15" s="217">
        <f t="shared" ref="N15" si="21">+M15</f>
        <v>5</v>
      </c>
      <c r="O15" s="217">
        <f t="shared" ref="O15" si="22">+N15</f>
        <v>5</v>
      </c>
      <c r="P15" s="217">
        <f t="shared" ref="P15" si="23">+O15</f>
        <v>5</v>
      </c>
      <c r="Q15" s="217">
        <f t="shared" ref="Q15" si="24">+P15</f>
        <v>5</v>
      </c>
      <c r="R15" s="217">
        <f t="shared" ref="R15" si="25">+Q15</f>
        <v>5</v>
      </c>
      <c r="S15" s="217">
        <f t="shared" ref="S15" si="26">+R15</f>
        <v>5</v>
      </c>
      <c r="T15" s="217">
        <f t="shared" ref="T15" si="27">+S15</f>
        <v>5</v>
      </c>
      <c r="U15" s="217">
        <f t="shared" ref="U15" si="28">+T15</f>
        <v>5</v>
      </c>
      <c r="V15" s="217">
        <f t="shared" ref="V15" si="29">+U15</f>
        <v>5</v>
      </c>
      <c r="W15" s="217">
        <f t="shared" ref="W15" si="30">+V15</f>
        <v>5</v>
      </c>
      <c r="X15" s="217">
        <f t="shared" ref="X15" si="31">+W15</f>
        <v>5</v>
      </c>
      <c r="Y15" s="217">
        <f t="shared" ref="Y15" si="32">+X15</f>
        <v>5</v>
      </c>
      <c r="Z15" s="217">
        <f t="shared" ref="Z15" si="33">+Y15</f>
        <v>5</v>
      </c>
      <c r="AA15" s="217">
        <f t="shared" ref="AA15" si="34">+Z15</f>
        <v>5</v>
      </c>
      <c r="AB15" s="217">
        <f t="shared" ref="AB15:AC15" si="35">+AA15</f>
        <v>5</v>
      </c>
      <c r="AC15" s="217">
        <f t="shared" si="35"/>
        <v>5</v>
      </c>
    </row>
    <row r="16" spans="1:29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</row>
    <row r="17" spans="1:29">
      <c r="A17" s="208"/>
      <c r="B17" s="208" t="e">
        <f>+[2]BP!B14</f>
        <v>#REF!</v>
      </c>
      <c r="C17" s="208"/>
      <c r="D17" s="217">
        <f t="shared" ref="D17:AC17" si="36">-D18*D$9/D$7</f>
        <v>0</v>
      </c>
      <c r="E17" s="217">
        <f t="shared" si="36"/>
        <v>0</v>
      </c>
      <c r="F17" s="217">
        <f t="shared" si="36"/>
        <v>0</v>
      </c>
      <c r="G17" s="217">
        <f t="shared" si="36"/>
        <v>0</v>
      </c>
      <c r="H17" s="217">
        <f t="shared" si="36"/>
        <v>0</v>
      </c>
      <c r="I17" s="217">
        <f t="shared" si="36"/>
        <v>0</v>
      </c>
      <c r="J17" s="217">
        <f t="shared" si="36"/>
        <v>0</v>
      </c>
      <c r="K17" s="217">
        <f t="shared" si="36"/>
        <v>0</v>
      </c>
      <c r="L17" s="217">
        <f t="shared" si="36"/>
        <v>0</v>
      </c>
      <c r="M17" s="217">
        <f t="shared" si="36"/>
        <v>0</v>
      </c>
      <c r="N17" s="217">
        <f t="shared" si="36"/>
        <v>0</v>
      </c>
      <c r="O17" s="217">
        <f t="shared" si="36"/>
        <v>0</v>
      </c>
      <c r="P17" s="217">
        <f t="shared" si="36"/>
        <v>0</v>
      </c>
      <c r="Q17" s="217">
        <f t="shared" si="36"/>
        <v>0</v>
      </c>
      <c r="R17" s="217">
        <f t="shared" si="36"/>
        <v>0</v>
      </c>
      <c r="S17" s="217">
        <f t="shared" si="36"/>
        <v>0</v>
      </c>
      <c r="T17" s="217">
        <f t="shared" si="36"/>
        <v>0</v>
      </c>
      <c r="U17" s="217">
        <f t="shared" si="36"/>
        <v>0</v>
      </c>
      <c r="V17" s="217">
        <f t="shared" si="36"/>
        <v>0</v>
      </c>
      <c r="W17" s="217">
        <f t="shared" si="36"/>
        <v>0</v>
      </c>
      <c r="X17" s="217">
        <f t="shared" si="36"/>
        <v>0</v>
      </c>
      <c r="Y17" s="217">
        <f t="shared" si="36"/>
        <v>0</v>
      </c>
      <c r="Z17" s="217">
        <f t="shared" si="36"/>
        <v>0</v>
      </c>
      <c r="AA17" s="217">
        <f t="shared" si="36"/>
        <v>0</v>
      </c>
      <c r="AB17" s="217">
        <f t="shared" si="36"/>
        <v>0</v>
      </c>
      <c r="AC17" s="217">
        <f t="shared" si="36"/>
        <v>0</v>
      </c>
    </row>
    <row r="18" spans="1:29">
      <c r="A18" s="208"/>
      <c r="B18" s="208" t="s">
        <v>483</v>
      </c>
      <c r="C18" s="208"/>
      <c r="D18" s="218">
        <v>0</v>
      </c>
      <c r="E18" s="217">
        <f t="shared" ref="E18:L18" si="37">+D18</f>
        <v>0</v>
      </c>
      <c r="F18" s="217">
        <f t="shared" si="37"/>
        <v>0</v>
      </c>
      <c r="G18" s="217">
        <f t="shared" si="37"/>
        <v>0</v>
      </c>
      <c r="H18" s="217">
        <f t="shared" si="37"/>
        <v>0</v>
      </c>
      <c r="I18" s="217">
        <f t="shared" si="37"/>
        <v>0</v>
      </c>
      <c r="J18" s="217">
        <f t="shared" si="37"/>
        <v>0</v>
      </c>
      <c r="K18" s="217">
        <f t="shared" si="37"/>
        <v>0</v>
      </c>
      <c r="L18" s="217">
        <f t="shared" si="37"/>
        <v>0</v>
      </c>
      <c r="M18" s="217">
        <f t="shared" ref="M18" si="38">+L18</f>
        <v>0</v>
      </c>
      <c r="N18" s="217">
        <f t="shared" ref="N18" si="39">+M18</f>
        <v>0</v>
      </c>
      <c r="O18" s="217">
        <f t="shared" ref="O18" si="40">+N18</f>
        <v>0</v>
      </c>
      <c r="P18" s="217">
        <f t="shared" ref="P18" si="41">+O18</f>
        <v>0</v>
      </c>
      <c r="Q18" s="217">
        <f t="shared" ref="Q18" si="42">+P18</f>
        <v>0</v>
      </c>
      <c r="R18" s="217">
        <f t="shared" ref="R18" si="43">+Q18</f>
        <v>0</v>
      </c>
      <c r="S18" s="217">
        <f t="shared" ref="S18" si="44">+R18</f>
        <v>0</v>
      </c>
      <c r="T18" s="217">
        <f t="shared" ref="T18" si="45">+S18</f>
        <v>0</v>
      </c>
      <c r="U18" s="217">
        <f t="shared" ref="U18" si="46">+T18</f>
        <v>0</v>
      </c>
      <c r="V18" s="217">
        <f t="shared" ref="V18" si="47">+U18</f>
        <v>0</v>
      </c>
      <c r="W18" s="217">
        <f t="shared" ref="W18" si="48">+V18</f>
        <v>0</v>
      </c>
      <c r="X18" s="217">
        <f t="shared" ref="X18" si="49">+W18</f>
        <v>0</v>
      </c>
      <c r="Y18" s="217">
        <f t="shared" ref="Y18" si="50">+X18</f>
        <v>0</v>
      </c>
      <c r="Z18" s="217">
        <f t="shared" ref="Z18" si="51">+Y18</f>
        <v>0</v>
      </c>
      <c r="AA18" s="217">
        <f t="shared" ref="AA18" si="52">+Z18</f>
        <v>0</v>
      </c>
      <c r="AB18" s="217">
        <f t="shared" ref="AB18:AC18" si="53">+AA18</f>
        <v>0</v>
      </c>
      <c r="AC18" s="217">
        <f t="shared" si="53"/>
        <v>0</v>
      </c>
    </row>
    <row r="19" spans="1:29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</row>
    <row r="20" spans="1:29">
      <c r="A20" s="208"/>
      <c r="B20" s="208" t="e">
        <f>+[2]BP!B15</f>
        <v>#REF!</v>
      </c>
      <c r="C20" s="208"/>
      <c r="D20" s="217">
        <f t="shared" ref="D20:AC20" si="54">-D21*D$9/D$7</f>
        <v>0</v>
      </c>
      <c r="E20" s="217">
        <f t="shared" si="54"/>
        <v>0</v>
      </c>
      <c r="F20" s="217">
        <f t="shared" si="54"/>
        <v>0</v>
      </c>
      <c r="G20" s="217">
        <f t="shared" si="54"/>
        <v>0</v>
      </c>
      <c r="H20" s="217">
        <f t="shared" si="54"/>
        <v>0</v>
      </c>
      <c r="I20" s="217">
        <f t="shared" si="54"/>
        <v>0</v>
      </c>
      <c r="J20" s="217">
        <f t="shared" si="54"/>
        <v>0</v>
      </c>
      <c r="K20" s="217">
        <f t="shared" si="54"/>
        <v>0</v>
      </c>
      <c r="L20" s="217">
        <f t="shared" si="54"/>
        <v>0</v>
      </c>
      <c r="M20" s="217">
        <f t="shared" si="54"/>
        <v>0</v>
      </c>
      <c r="N20" s="217">
        <f t="shared" si="54"/>
        <v>0</v>
      </c>
      <c r="O20" s="217">
        <f t="shared" si="54"/>
        <v>0</v>
      </c>
      <c r="P20" s="217">
        <f t="shared" si="54"/>
        <v>0</v>
      </c>
      <c r="Q20" s="217">
        <f t="shared" si="54"/>
        <v>0</v>
      </c>
      <c r="R20" s="217">
        <f t="shared" si="54"/>
        <v>0</v>
      </c>
      <c r="S20" s="217">
        <f t="shared" si="54"/>
        <v>0</v>
      </c>
      <c r="T20" s="217">
        <f t="shared" si="54"/>
        <v>0</v>
      </c>
      <c r="U20" s="217">
        <f t="shared" si="54"/>
        <v>0</v>
      </c>
      <c r="V20" s="217">
        <f t="shared" si="54"/>
        <v>0</v>
      </c>
      <c r="W20" s="217">
        <f t="shared" si="54"/>
        <v>0</v>
      </c>
      <c r="X20" s="217">
        <f t="shared" si="54"/>
        <v>0</v>
      </c>
      <c r="Y20" s="217">
        <f t="shared" si="54"/>
        <v>0</v>
      </c>
      <c r="Z20" s="217">
        <f t="shared" si="54"/>
        <v>0</v>
      </c>
      <c r="AA20" s="217">
        <f t="shared" si="54"/>
        <v>0</v>
      </c>
      <c r="AB20" s="217">
        <f t="shared" si="54"/>
        <v>0</v>
      </c>
      <c r="AC20" s="217">
        <f t="shared" si="54"/>
        <v>0</v>
      </c>
    </row>
    <row r="21" spans="1:29">
      <c r="A21" s="208"/>
      <c r="B21" s="208" t="s">
        <v>485</v>
      </c>
      <c r="C21" s="208"/>
      <c r="D21" s="218">
        <v>0</v>
      </c>
      <c r="E21" s="217">
        <f t="shared" ref="E21:L21" si="55">+D21</f>
        <v>0</v>
      </c>
      <c r="F21" s="217">
        <f t="shared" si="55"/>
        <v>0</v>
      </c>
      <c r="G21" s="217">
        <f t="shared" si="55"/>
        <v>0</v>
      </c>
      <c r="H21" s="217">
        <f t="shared" si="55"/>
        <v>0</v>
      </c>
      <c r="I21" s="217">
        <f t="shared" si="55"/>
        <v>0</v>
      </c>
      <c r="J21" s="217">
        <f t="shared" si="55"/>
        <v>0</v>
      </c>
      <c r="K21" s="217">
        <f t="shared" si="55"/>
        <v>0</v>
      </c>
      <c r="L21" s="217">
        <f t="shared" si="55"/>
        <v>0</v>
      </c>
      <c r="M21" s="217">
        <f t="shared" ref="M21" si="56">+L21</f>
        <v>0</v>
      </c>
      <c r="N21" s="217">
        <f t="shared" ref="N21" si="57">+M21</f>
        <v>0</v>
      </c>
      <c r="O21" s="217">
        <f t="shared" ref="O21" si="58">+N21</f>
        <v>0</v>
      </c>
      <c r="P21" s="217">
        <f t="shared" ref="P21" si="59">+O21</f>
        <v>0</v>
      </c>
      <c r="Q21" s="217">
        <f t="shared" ref="Q21" si="60">+P21</f>
        <v>0</v>
      </c>
      <c r="R21" s="217">
        <f t="shared" ref="R21" si="61">+Q21</f>
        <v>0</v>
      </c>
      <c r="S21" s="217">
        <f t="shared" ref="S21" si="62">+R21</f>
        <v>0</v>
      </c>
      <c r="T21" s="217">
        <f t="shared" ref="T21" si="63">+S21</f>
        <v>0</v>
      </c>
      <c r="U21" s="217">
        <f t="shared" ref="U21" si="64">+T21</f>
        <v>0</v>
      </c>
      <c r="V21" s="217">
        <f t="shared" ref="V21" si="65">+U21</f>
        <v>0</v>
      </c>
      <c r="W21" s="217">
        <f t="shared" ref="W21" si="66">+V21</f>
        <v>0</v>
      </c>
      <c r="X21" s="217">
        <f t="shared" ref="X21" si="67">+W21</f>
        <v>0</v>
      </c>
      <c r="Y21" s="217">
        <f t="shared" ref="Y21" si="68">+X21</f>
        <v>0</v>
      </c>
      <c r="Z21" s="217">
        <f t="shared" ref="Z21" si="69">+Y21</f>
        <v>0</v>
      </c>
      <c r="AA21" s="217">
        <f t="shared" ref="AA21" si="70">+Z21</f>
        <v>0</v>
      </c>
      <c r="AB21" s="217">
        <f t="shared" ref="AB21:AC21" si="71">+AA21</f>
        <v>0</v>
      </c>
      <c r="AC21" s="217">
        <f t="shared" si="71"/>
        <v>0</v>
      </c>
    </row>
    <row r="22" spans="1:29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</row>
    <row r="23" spans="1:29">
      <c r="A23" s="208"/>
      <c r="B23" s="208" t="e">
        <f>[2]BP!B20</f>
        <v>#REF!</v>
      </c>
      <c r="C23" s="208"/>
      <c r="D23" s="217">
        <f t="shared" ref="D23:AC23" si="72">+D24*D$8/D$7</f>
        <v>0</v>
      </c>
      <c r="E23" s="217">
        <f t="shared" si="72"/>
        <v>0</v>
      </c>
      <c r="F23" s="217">
        <f t="shared" si="72"/>
        <v>0</v>
      </c>
      <c r="G23" s="217">
        <f t="shared" si="72"/>
        <v>0</v>
      </c>
      <c r="H23" s="217">
        <f t="shared" si="72"/>
        <v>0</v>
      </c>
      <c r="I23" s="217">
        <f t="shared" si="72"/>
        <v>0</v>
      </c>
      <c r="J23" s="217">
        <f t="shared" si="72"/>
        <v>0</v>
      </c>
      <c r="K23" s="217">
        <f t="shared" si="72"/>
        <v>0</v>
      </c>
      <c r="L23" s="217">
        <f t="shared" si="72"/>
        <v>0</v>
      </c>
      <c r="M23" s="217">
        <f t="shared" si="72"/>
        <v>0</v>
      </c>
      <c r="N23" s="217">
        <f t="shared" si="72"/>
        <v>0</v>
      </c>
      <c r="O23" s="217">
        <f t="shared" si="72"/>
        <v>0</v>
      </c>
      <c r="P23" s="217">
        <f t="shared" si="72"/>
        <v>0</v>
      </c>
      <c r="Q23" s="217">
        <f t="shared" si="72"/>
        <v>0</v>
      </c>
      <c r="R23" s="217">
        <f t="shared" si="72"/>
        <v>0</v>
      </c>
      <c r="S23" s="217">
        <f t="shared" si="72"/>
        <v>0</v>
      </c>
      <c r="T23" s="217">
        <f t="shared" si="72"/>
        <v>0</v>
      </c>
      <c r="U23" s="217">
        <f t="shared" si="72"/>
        <v>0</v>
      </c>
      <c r="V23" s="217">
        <f t="shared" si="72"/>
        <v>0</v>
      </c>
      <c r="W23" s="217">
        <f t="shared" si="72"/>
        <v>0</v>
      </c>
      <c r="X23" s="217">
        <f t="shared" si="72"/>
        <v>0</v>
      </c>
      <c r="Y23" s="217">
        <f t="shared" si="72"/>
        <v>0</v>
      </c>
      <c r="Z23" s="217">
        <f t="shared" si="72"/>
        <v>0</v>
      </c>
      <c r="AA23" s="217">
        <f t="shared" si="72"/>
        <v>0</v>
      </c>
      <c r="AB23" s="217">
        <f t="shared" si="72"/>
        <v>0</v>
      </c>
      <c r="AC23" s="217">
        <f t="shared" si="72"/>
        <v>0</v>
      </c>
    </row>
    <row r="24" spans="1:29">
      <c r="A24" s="208"/>
      <c r="B24" s="208" t="s">
        <v>483</v>
      </c>
      <c r="C24" s="208"/>
      <c r="D24" s="217">
        <v>0</v>
      </c>
      <c r="E24" s="217">
        <f t="shared" ref="E24:L24" si="73">+D24</f>
        <v>0</v>
      </c>
      <c r="F24" s="217">
        <f t="shared" si="73"/>
        <v>0</v>
      </c>
      <c r="G24" s="217">
        <f t="shared" si="73"/>
        <v>0</v>
      </c>
      <c r="H24" s="217">
        <f t="shared" si="73"/>
        <v>0</v>
      </c>
      <c r="I24" s="217">
        <f t="shared" si="73"/>
        <v>0</v>
      </c>
      <c r="J24" s="217">
        <f t="shared" si="73"/>
        <v>0</v>
      </c>
      <c r="K24" s="217">
        <f t="shared" si="73"/>
        <v>0</v>
      </c>
      <c r="L24" s="217">
        <f t="shared" si="73"/>
        <v>0</v>
      </c>
      <c r="M24" s="217">
        <f t="shared" ref="M24" si="74">+L24</f>
        <v>0</v>
      </c>
      <c r="N24" s="217">
        <f t="shared" ref="N24" si="75">+M24</f>
        <v>0</v>
      </c>
      <c r="O24" s="217">
        <f t="shared" ref="O24" si="76">+N24</f>
        <v>0</v>
      </c>
      <c r="P24" s="217">
        <f t="shared" ref="P24" si="77">+O24</f>
        <v>0</v>
      </c>
      <c r="Q24" s="217">
        <f t="shared" ref="Q24" si="78">+P24</f>
        <v>0</v>
      </c>
      <c r="R24" s="217">
        <f t="shared" ref="R24" si="79">+Q24</f>
        <v>0</v>
      </c>
      <c r="S24" s="217">
        <f t="shared" ref="S24" si="80">+R24</f>
        <v>0</v>
      </c>
      <c r="T24" s="217">
        <f t="shared" ref="T24" si="81">+S24</f>
        <v>0</v>
      </c>
      <c r="U24" s="217">
        <f t="shared" ref="U24" si="82">+T24</f>
        <v>0</v>
      </c>
      <c r="V24" s="217">
        <f t="shared" ref="V24" si="83">+U24</f>
        <v>0</v>
      </c>
      <c r="W24" s="217">
        <f t="shared" ref="W24" si="84">+V24</f>
        <v>0</v>
      </c>
      <c r="X24" s="217">
        <f t="shared" ref="X24" si="85">+W24</f>
        <v>0</v>
      </c>
      <c r="Y24" s="217">
        <f t="shared" ref="Y24" si="86">+X24</f>
        <v>0</v>
      </c>
      <c r="Z24" s="217">
        <f t="shared" ref="Z24" si="87">+Y24</f>
        <v>0</v>
      </c>
      <c r="AA24" s="217">
        <f t="shared" ref="AA24" si="88">+Z24</f>
        <v>0</v>
      </c>
      <c r="AB24" s="217">
        <f t="shared" ref="AB24:AC24" si="89">+AA24</f>
        <v>0</v>
      </c>
      <c r="AC24" s="217">
        <f t="shared" si="89"/>
        <v>0</v>
      </c>
    </row>
    <row r="25" spans="1:29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</row>
    <row r="26" spans="1:29">
      <c r="A26" s="208"/>
      <c r="B26" s="219" t="s">
        <v>486</v>
      </c>
      <c r="C26" s="220">
        <v>0</v>
      </c>
      <c r="D26" s="221">
        <f t="shared" ref="D26:L26" si="90">+D11+D14+D17+D20+D23</f>
        <v>3658914.2691258034</v>
      </c>
      <c r="E26" s="221">
        <f t="shared" si="90"/>
        <v>3538263.838725403</v>
      </c>
      <c r="F26" s="221">
        <f t="shared" si="90"/>
        <v>3769466.3154911534</v>
      </c>
      <c r="G26" s="221">
        <f t="shared" si="90"/>
        <v>4004822.6968933018</v>
      </c>
      <c r="H26" s="221">
        <f t="shared" si="90"/>
        <v>4278240.9036181774</v>
      </c>
      <c r="I26" s="221">
        <f t="shared" si="90"/>
        <v>4557860.1630757842</v>
      </c>
      <c r="J26" s="221">
        <f t="shared" si="90"/>
        <v>4855776.6713277912</v>
      </c>
      <c r="K26" s="221">
        <f t="shared" si="90"/>
        <v>5159056.3580569569</v>
      </c>
      <c r="L26" s="222">
        <f t="shared" si="90"/>
        <v>5511378.235141892</v>
      </c>
      <c r="M26" s="222">
        <f t="shared" ref="M26:AB26" si="91">+M11+M14+M17+M20+M23</f>
        <v>5855658.1640127003</v>
      </c>
      <c r="N26" s="222">
        <f t="shared" si="91"/>
        <v>6371273.7821957758</v>
      </c>
      <c r="O26" s="222">
        <f t="shared" si="91"/>
        <v>6610316.1236965982</v>
      </c>
      <c r="P26" s="222">
        <f t="shared" si="91"/>
        <v>7023494.4518162115</v>
      </c>
      <c r="Q26" s="222">
        <f t="shared" si="91"/>
        <v>7462587.1586719733</v>
      </c>
      <c r="R26" s="222">
        <f t="shared" si="91"/>
        <v>7929222.4939979585</v>
      </c>
      <c r="S26" s="222">
        <f t="shared" si="91"/>
        <v>8425134.8851772882</v>
      </c>
      <c r="T26" s="222">
        <f t="shared" si="91"/>
        <v>8952167.6325557735</v>
      </c>
      <c r="U26" s="222">
        <f t="shared" si="91"/>
        <v>9512277.9201092944</v>
      </c>
      <c r="V26" s="222">
        <f t="shared" si="91"/>
        <v>10107548.059559891</v>
      </c>
      <c r="W26" s="222">
        <f t="shared" si="91"/>
        <v>10740193.630114947</v>
      </c>
      <c r="X26" s="222">
        <f t="shared" si="91"/>
        <v>11412564.435425643</v>
      </c>
      <c r="Y26" s="222">
        <f t="shared" si="91"/>
        <v>12127166.179268084</v>
      </c>
      <c r="Z26" s="222">
        <f t="shared" si="91"/>
        <v>12886655.94319723</v>
      </c>
      <c r="AA26" s="222">
        <f t="shared" si="91"/>
        <v>13693863.965017106</v>
      </c>
      <c r="AB26" s="222">
        <f t="shared" si="91"/>
        <v>14551795.751140323</v>
      </c>
      <c r="AC26" s="222">
        <f t="shared" ref="AC26" si="92">+AC11+AC14+AC17+AC20+AC23</f>
        <v>0</v>
      </c>
    </row>
    <row r="27" spans="1:29">
      <c r="A27" s="208"/>
      <c r="B27" s="215" t="s">
        <v>487</v>
      </c>
      <c r="C27" s="216"/>
      <c r="D27" s="223">
        <f>-(D26-C26)</f>
        <v>-3658914.2691258034</v>
      </c>
      <c r="E27" s="223">
        <f>-(E26-D26)</f>
        <v>120650.43040040042</v>
      </c>
      <c r="F27" s="223">
        <f t="shared" ref="F27:L27" si="93">-(F26-E26)</f>
        <v>-231202.47676575044</v>
      </c>
      <c r="G27" s="223">
        <f t="shared" si="93"/>
        <v>-235356.3814021484</v>
      </c>
      <c r="H27" s="223">
        <f t="shared" si="93"/>
        <v>-273418.20672487561</v>
      </c>
      <c r="I27" s="223">
        <f t="shared" si="93"/>
        <v>-279619.25945760682</v>
      </c>
      <c r="J27" s="223">
        <f t="shared" si="93"/>
        <v>-297916.50825200696</v>
      </c>
      <c r="K27" s="223">
        <f t="shared" si="93"/>
        <v>-303279.68672916573</v>
      </c>
      <c r="L27" s="224">
        <f t="shared" si="93"/>
        <v>-352321.87708493508</v>
      </c>
      <c r="M27" s="224">
        <f t="shared" ref="M27" si="94">-(M26-L26)</f>
        <v>-344279.92887080833</v>
      </c>
      <c r="N27" s="224">
        <f t="shared" ref="N27" si="95">-(N26-M26)</f>
        <v>-515615.61818307545</v>
      </c>
      <c r="O27" s="224">
        <f t="shared" ref="O27" si="96">-(O26-N26)</f>
        <v>-239042.34150082245</v>
      </c>
      <c r="P27" s="224">
        <f t="shared" ref="P27" si="97">-(P26-O26)</f>
        <v>-413178.32811961323</v>
      </c>
      <c r="Q27" s="224">
        <f t="shared" ref="Q27" si="98">-(Q26-P26)</f>
        <v>-439092.70685576182</v>
      </c>
      <c r="R27" s="224">
        <f t="shared" ref="R27" si="99">-(R26-Q26)</f>
        <v>-466635.33532598522</v>
      </c>
      <c r="S27" s="224">
        <f t="shared" ref="S27" si="100">-(S26-R26)</f>
        <v>-495912.39117932972</v>
      </c>
      <c r="T27" s="224">
        <f t="shared" ref="T27" si="101">-(T26-S26)</f>
        <v>-527032.74737848528</v>
      </c>
      <c r="U27" s="224">
        <f t="shared" ref="U27" si="102">-(U26-T26)</f>
        <v>-560110.28755352087</v>
      </c>
      <c r="V27" s="224">
        <f t="shared" ref="V27" si="103">-(V26-U26)</f>
        <v>-595270.13945059665</v>
      </c>
      <c r="W27" s="224">
        <f t="shared" ref="W27" si="104">-(W26-V26)</f>
        <v>-632645.57055505551</v>
      </c>
      <c r="X27" s="224">
        <f t="shared" ref="X27" si="105">-(X26-W26)</f>
        <v>-672370.80531069636</v>
      </c>
      <c r="Y27" s="224">
        <f t="shared" ref="Y27" si="106">-(Y26-X26)</f>
        <v>-714601.74384244159</v>
      </c>
      <c r="Z27" s="224">
        <f t="shared" ref="Z27" si="107">-(Z26-Y26)</f>
        <v>-759489.76392914541</v>
      </c>
      <c r="AA27" s="224">
        <f t="shared" ref="AA27" si="108">-(AA26-Z26)</f>
        <v>-807208.02181987651</v>
      </c>
      <c r="AB27" s="224">
        <f t="shared" ref="AB27" si="109">-(AB26-AA26)</f>
        <v>-857931.78612321615</v>
      </c>
      <c r="AC27" s="224">
        <f>-(AC26-AB26)</f>
        <v>14551795.751140323</v>
      </c>
    </row>
    <row r="28" spans="1:29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</row>
    <row r="29" spans="1:29">
      <c r="A29" s="208"/>
      <c r="B29" s="208" t="e">
        <f>+[2]BP!B47</f>
        <v>#REF!</v>
      </c>
      <c r="C29" s="208"/>
      <c r="D29" s="217">
        <f>-D30*D$9/D$7</f>
        <v>759399.71048239258</v>
      </c>
      <c r="E29" s="217">
        <f t="shared" ref="E29:AC29" si="110">-E30*E$9/E$7</f>
        <v>805396.39028491243</v>
      </c>
      <c r="F29" s="217">
        <f t="shared" si="110"/>
        <v>854196.02889547299</v>
      </c>
      <c r="G29" s="217">
        <f t="shared" si="110"/>
        <v>903495.21362624352</v>
      </c>
      <c r="H29" s="217">
        <f t="shared" si="110"/>
        <v>960902.48878903547</v>
      </c>
      <c r="I29" s="217">
        <f t="shared" si="110"/>
        <v>1019185.6864339791</v>
      </c>
      <c r="J29" s="217">
        <f t="shared" si="110"/>
        <v>1081025.9289698601</v>
      </c>
      <c r="K29" s="217">
        <f t="shared" si="110"/>
        <v>1143508.8719373376</v>
      </c>
      <c r="L29" s="217">
        <f t="shared" si="110"/>
        <v>1216265.2494706376</v>
      </c>
      <c r="M29" s="217">
        <f t="shared" si="110"/>
        <v>1286617.8057958432</v>
      </c>
      <c r="N29" s="217">
        <f t="shared" si="110"/>
        <v>1361078.0792893113</v>
      </c>
      <c r="O29" s="217">
        <f t="shared" si="110"/>
        <v>1439888.2289747712</v>
      </c>
      <c r="P29" s="217">
        <f t="shared" si="110"/>
        <v>1523304.784349273</v>
      </c>
      <c r="Q29" s="217">
        <f t="shared" si="110"/>
        <v>1611599.5782652784</v>
      </c>
      <c r="R29" s="217">
        <f t="shared" si="110"/>
        <v>1705060.5952699943</v>
      </c>
      <c r="S29" s="217">
        <f t="shared" si="110"/>
        <v>1803993.0430971489</v>
      </c>
      <c r="T29" s="217">
        <f t="shared" si="110"/>
        <v>1908720.3238102552</v>
      </c>
      <c r="U29" s="217">
        <f t="shared" si="110"/>
        <v>2019585.1031361774</v>
      </c>
      <c r="V29" s="217">
        <f t="shared" si="110"/>
        <v>2136950.5323931254</v>
      </c>
      <c r="W29" s="217">
        <f t="shared" si="110"/>
        <v>2261201.4845081787</v>
      </c>
      <c r="X29" s="217">
        <f t="shared" si="110"/>
        <v>2392745.7577557941</v>
      </c>
      <c r="Y29" s="217">
        <f t="shared" si="110"/>
        <v>2532015.6538865403</v>
      </c>
      <c r="Z29" s="217">
        <f t="shared" si="110"/>
        <v>2679469.2387008173</v>
      </c>
      <c r="AA29" s="217">
        <f t="shared" si="110"/>
        <v>2835592.0858932696</v>
      </c>
      <c r="AB29" s="217">
        <f t="shared" si="110"/>
        <v>3000898.8116254346</v>
      </c>
      <c r="AC29" s="217">
        <f t="shared" si="110"/>
        <v>0</v>
      </c>
    </row>
    <row r="30" spans="1:29">
      <c r="A30" s="208"/>
      <c r="B30" s="208" t="s">
        <v>488</v>
      </c>
      <c r="C30" s="208"/>
      <c r="D30" s="218">
        <v>21</v>
      </c>
      <c r="E30" s="217">
        <f t="shared" ref="E30:L30" si="111">+D30</f>
        <v>21</v>
      </c>
      <c r="F30" s="217">
        <f t="shared" si="111"/>
        <v>21</v>
      </c>
      <c r="G30" s="217">
        <f t="shared" si="111"/>
        <v>21</v>
      </c>
      <c r="H30" s="217">
        <f t="shared" si="111"/>
        <v>21</v>
      </c>
      <c r="I30" s="217">
        <f t="shared" si="111"/>
        <v>21</v>
      </c>
      <c r="J30" s="217">
        <f t="shared" si="111"/>
        <v>21</v>
      </c>
      <c r="K30" s="217">
        <f t="shared" si="111"/>
        <v>21</v>
      </c>
      <c r="L30" s="217">
        <f t="shared" si="111"/>
        <v>21</v>
      </c>
      <c r="M30" s="217">
        <f t="shared" ref="M30" si="112">+L30</f>
        <v>21</v>
      </c>
      <c r="N30" s="217">
        <f t="shared" ref="N30" si="113">+M30</f>
        <v>21</v>
      </c>
      <c r="O30" s="217">
        <f t="shared" ref="O30" si="114">+N30</f>
        <v>21</v>
      </c>
      <c r="P30" s="217">
        <f t="shared" ref="P30" si="115">+O30</f>
        <v>21</v>
      </c>
      <c r="Q30" s="217">
        <f t="shared" ref="Q30" si="116">+P30</f>
        <v>21</v>
      </c>
      <c r="R30" s="217">
        <f t="shared" ref="R30" si="117">+Q30</f>
        <v>21</v>
      </c>
      <c r="S30" s="217">
        <f t="shared" ref="S30" si="118">+R30</f>
        <v>21</v>
      </c>
      <c r="T30" s="217">
        <f t="shared" ref="T30" si="119">+S30</f>
        <v>21</v>
      </c>
      <c r="U30" s="217">
        <f t="shared" ref="U30" si="120">+T30</f>
        <v>21</v>
      </c>
      <c r="V30" s="217">
        <f t="shared" ref="V30" si="121">+U30</f>
        <v>21</v>
      </c>
      <c r="W30" s="217">
        <f t="shared" ref="W30" si="122">+V30</f>
        <v>21</v>
      </c>
      <c r="X30" s="217">
        <f t="shared" ref="X30" si="123">+W30</f>
        <v>21</v>
      </c>
      <c r="Y30" s="217">
        <f t="shared" ref="Y30" si="124">+X30</f>
        <v>21</v>
      </c>
      <c r="Z30" s="217">
        <f t="shared" ref="Z30" si="125">+Y30</f>
        <v>21</v>
      </c>
      <c r="AA30" s="217">
        <f t="shared" ref="AA30" si="126">+Z30</f>
        <v>21</v>
      </c>
      <c r="AB30" s="217">
        <f t="shared" ref="AB30:AC30" si="127">+AA30</f>
        <v>21</v>
      </c>
      <c r="AC30" s="217">
        <f t="shared" si="127"/>
        <v>21</v>
      </c>
    </row>
    <row r="31" spans="1:29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</row>
    <row r="32" spans="1:29">
      <c r="A32" s="208"/>
      <c r="B32" s="208" t="e">
        <f>+[2]BP!B49</f>
        <v>#REF!</v>
      </c>
      <c r="C32" s="208"/>
      <c r="D32" s="217">
        <f>-D33*D$9/D$7</f>
        <v>0</v>
      </c>
      <c r="E32" s="217">
        <f t="shared" ref="E32:AC32" si="128">-E33*E$9/E$7</f>
        <v>0</v>
      </c>
      <c r="F32" s="217">
        <f t="shared" si="128"/>
        <v>0</v>
      </c>
      <c r="G32" s="217">
        <f t="shared" si="128"/>
        <v>0</v>
      </c>
      <c r="H32" s="217">
        <f t="shared" si="128"/>
        <v>0</v>
      </c>
      <c r="I32" s="217">
        <f t="shared" si="128"/>
        <v>0</v>
      </c>
      <c r="J32" s="217">
        <f t="shared" si="128"/>
        <v>0</v>
      </c>
      <c r="K32" s="217">
        <f t="shared" si="128"/>
        <v>0</v>
      </c>
      <c r="L32" s="217">
        <f t="shared" si="128"/>
        <v>0</v>
      </c>
      <c r="M32" s="217">
        <f t="shared" si="128"/>
        <v>0</v>
      </c>
      <c r="N32" s="217">
        <f t="shared" si="128"/>
        <v>0</v>
      </c>
      <c r="O32" s="217">
        <f t="shared" si="128"/>
        <v>0</v>
      </c>
      <c r="P32" s="217">
        <f t="shared" si="128"/>
        <v>0</v>
      </c>
      <c r="Q32" s="217">
        <f t="shared" si="128"/>
        <v>0</v>
      </c>
      <c r="R32" s="217">
        <f t="shared" si="128"/>
        <v>0</v>
      </c>
      <c r="S32" s="217">
        <f t="shared" si="128"/>
        <v>0</v>
      </c>
      <c r="T32" s="217">
        <f t="shared" si="128"/>
        <v>0</v>
      </c>
      <c r="U32" s="217">
        <f t="shared" si="128"/>
        <v>0</v>
      </c>
      <c r="V32" s="217">
        <f t="shared" si="128"/>
        <v>0</v>
      </c>
      <c r="W32" s="217">
        <f t="shared" si="128"/>
        <v>0</v>
      </c>
      <c r="X32" s="217">
        <f t="shared" si="128"/>
        <v>0</v>
      </c>
      <c r="Y32" s="217">
        <f t="shared" si="128"/>
        <v>0</v>
      </c>
      <c r="Z32" s="217">
        <f t="shared" si="128"/>
        <v>0</v>
      </c>
      <c r="AA32" s="217">
        <f t="shared" si="128"/>
        <v>0</v>
      </c>
      <c r="AB32" s="217">
        <f t="shared" si="128"/>
        <v>0</v>
      </c>
      <c r="AC32" s="217">
        <f t="shared" si="128"/>
        <v>0</v>
      </c>
    </row>
    <row r="33" spans="1:29">
      <c r="A33" s="208"/>
      <c r="B33" s="208" t="s">
        <v>488</v>
      </c>
      <c r="C33" s="208"/>
      <c r="D33" s="218">
        <v>0</v>
      </c>
      <c r="E33" s="217">
        <f t="shared" ref="E33:L33" si="129">+D33</f>
        <v>0</v>
      </c>
      <c r="F33" s="217">
        <f t="shared" si="129"/>
        <v>0</v>
      </c>
      <c r="G33" s="217">
        <f t="shared" si="129"/>
        <v>0</v>
      </c>
      <c r="H33" s="217">
        <f t="shared" si="129"/>
        <v>0</v>
      </c>
      <c r="I33" s="217">
        <f t="shared" si="129"/>
        <v>0</v>
      </c>
      <c r="J33" s="217">
        <f t="shared" si="129"/>
        <v>0</v>
      </c>
      <c r="K33" s="217">
        <f t="shared" si="129"/>
        <v>0</v>
      </c>
      <c r="L33" s="217">
        <f t="shared" si="129"/>
        <v>0</v>
      </c>
      <c r="M33" s="217">
        <f t="shared" ref="M33" si="130">+L33</f>
        <v>0</v>
      </c>
      <c r="N33" s="217">
        <f t="shared" ref="N33" si="131">+M33</f>
        <v>0</v>
      </c>
      <c r="O33" s="217">
        <f t="shared" ref="O33" si="132">+N33</f>
        <v>0</v>
      </c>
      <c r="P33" s="217">
        <f t="shared" ref="P33" si="133">+O33</f>
        <v>0</v>
      </c>
      <c r="Q33" s="217">
        <f t="shared" ref="Q33" si="134">+P33</f>
        <v>0</v>
      </c>
      <c r="R33" s="217">
        <f t="shared" ref="R33" si="135">+Q33</f>
        <v>0</v>
      </c>
      <c r="S33" s="217">
        <f t="shared" ref="S33" si="136">+R33</f>
        <v>0</v>
      </c>
      <c r="T33" s="217">
        <f t="shared" ref="T33" si="137">+S33</f>
        <v>0</v>
      </c>
      <c r="U33" s="217">
        <f t="shared" ref="U33" si="138">+T33</f>
        <v>0</v>
      </c>
      <c r="V33" s="217">
        <f t="shared" ref="V33" si="139">+U33</f>
        <v>0</v>
      </c>
      <c r="W33" s="217">
        <f t="shared" ref="W33" si="140">+V33</f>
        <v>0</v>
      </c>
      <c r="X33" s="217">
        <f t="shared" ref="X33" si="141">+W33</f>
        <v>0</v>
      </c>
      <c r="Y33" s="217">
        <f t="shared" ref="Y33" si="142">+X33</f>
        <v>0</v>
      </c>
      <c r="Z33" s="217">
        <f t="shared" ref="Z33" si="143">+Y33</f>
        <v>0</v>
      </c>
      <c r="AA33" s="217">
        <f t="shared" ref="AA33" si="144">+Z33</f>
        <v>0</v>
      </c>
      <c r="AB33" s="217">
        <f t="shared" ref="AB33:AC33" si="145">+AA33</f>
        <v>0</v>
      </c>
      <c r="AC33" s="217">
        <f t="shared" si="145"/>
        <v>0</v>
      </c>
    </row>
    <row r="34" spans="1:29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</row>
    <row r="35" spans="1:29">
      <c r="A35" s="208"/>
      <c r="B35" s="208" t="e">
        <f>+[2]BP!B50</f>
        <v>#REF!</v>
      </c>
      <c r="C35" s="208"/>
      <c r="D35" s="217">
        <f>-D36*D$9/D$7</f>
        <v>0</v>
      </c>
      <c r="E35" s="217">
        <f t="shared" ref="E35:AC35" si="146">-E36*E$9/E$7</f>
        <v>0</v>
      </c>
      <c r="F35" s="217">
        <f t="shared" si="146"/>
        <v>0</v>
      </c>
      <c r="G35" s="217">
        <f t="shared" si="146"/>
        <v>0</v>
      </c>
      <c r="H35" s="217">
        <f t="shared" si="146"/>
        <v>0</v>
      </c>
      <c r="I35" s="217">
        <f t="shared" si="146"/>
        <v>0</v>
      </c>
      <c r="J35" s="217">
        <f t="shared" si="146"/>
        <v>0</v>
      </c>
      <c r="K35" s="217">
        <f t="shared" si="146"/>
        <v>0</v>
      </c>
      <c r="L35" s="217">
        <f t="shared" si="146"/>
        <v>0</v>
      </c>
      <c r="M35" s="217">
        <f t="shared" si="146"/>
        <v>0</v>
      </c>
      <c r="N35" s="217">
        <f t="shared" si="146"/>
        <v>0</v>
      </c>
      <c r="O35" s="217">
        <f t="shared" si="146"/>
        <v>0</v>
      </c>
      <c r="P35" s="217">
        <f t="shared" si="146"/>
        <v>0</v>
      </c>
      <c r="Q35" s="217">
        <f t="shared" si="146"/>
        <v>0</v>
      </c>
      <c r="R35" s="217">
        <f t="shared" si="146"/>
        <v>0</v>
      </c>
      <c r="S35" s="217">
        <f t="shared" si="146"/>
        <v>0</v>
      </c>
      <c r="T35" s="217">
        <f t="shared" si="146"/>
        <v>0</v>
      </c>
      <c r="U35" s="217">
        <f t="shared" si="146"/>
        <v>0</v>
      </c>
      <c r="V35" s="217">
        <f t="shared" si="146"/>
        <v>0</v>
      </c>
      <c r="W35" s="217">
        <f t="shared" si="146"/>
        <v>0</v>
      </c>
      <c r="X35" s="217">
        <f t="shared" si="146"/>
        <v>0</v>
      </c>
      <c r="Y35" s="217">
        <f t="shared" si="146"/>
        <v>0</v>
      </c>
      <c r="Z35" s="217">
        <f t="shared" si="146"/>
        <v>0</v>
      </c>
      <c r="AA35" s="217">
        <f t="shared" si="146"/>
        <v>0</v>
      </c>
      <c r="AB35" s="217">
        <f t="shared" si="146"/>
        <v>0</v>
      </c>
      <c r="AC35" s="217">
        <f t="shared" si="146"/>
        <v>0</v>
      </c>
    </row>
    <row r="36" spans="1:29">
      <c r="A36" s="208"/>
      <c r="B36" s="208" t="s">
        <v>488</v>
      </c>
      <c r="C36" s="208"/>
      <c r="D36" s="218">
        <v>0</v>
      </c>
      <c r="E36" s="217">
        <f t="shared" ref="E36:L36" si="147">+D36</f>
        <v>0</v>
      </c>
      <c r="F36" s="217">
        <f t="shared" si="147"/>
        <v>0</v>
      </c>
      <c r="G36" s="217">
        <f t="shared" si="147"/>
        <v>0</v>
      </c>
      <c r="H36" s="217">
        <f t="shared" si="147"/>
        <v>0</v>
      </c>
      <c r="I36" s="217">
        <f t="shared" si="147"/>
        <v>0</v>
      </c>
      <c r="J36" s="217">
        <f t="shared" si="147"/>
        <v>0</v>
      </c>
      <c r="K36" s="217">
        <f t="shared" si="147"/>
        <v>0</v>
      </c>
      <c r="L36" s="217">
        <f t="shared" si="147"/>
        <v>0</v>
      </c>
      <c r="M36" s="217">
        <f t="shared" ref="M36" si="148">+L36</f>
        <v>0</v>
      </c>
      <c r="N36" s="217">
        <f t="shared" ref="N36" si="149">+M36</f>
        <v>0</v>
      </c>
      <c r="O36" s="217">
        <f t="shared" ref="O36" si="150">+N36</f>
        <v>0</v>
      </c>
      <c r="P36" s="217">
        <f t="shared" ref="P36" si="151">+O36</f>
        <v>0</v>
      </c>
      <c r="Q36" s="217">
        <f t="shared" ref="Q36" si="152">+P36</f>
        <v>0</v>
      </c>
      <c r="R36" s="217">
        <f t="shared" ref="R36" si="153">+Q36</f>
        <v>0</v>
      </c>
      <c r="S36" s="217">
        <f t="shared" ref="S36" si="154">+R36</f>
        <v>0</v>
      </c>
      <c r="T36" s="217">
        <f t="shared" ref="T36" si="155">+S36</f>
        <v>0</v>
      </c>
      <c r="U36" s="217">
        <f t="shared" ref="U36" si="156">+T36</f>
        <v>0</v>
      </c>
      <c r="V36" s="217">
        <f t="shared" ref="V36" si="157">+U36</f>
        <v>0</v>
      </c>
      <c r="W36" s="217">
        <f t="shared" ref="W36" si="158">+V36</f>
        <v>0</v>
      </c>
      <c r="X36" s="217">
        <f t="shared" ref="X36" si="159">+W36</f>
        <v>0</v>
      </c>
      <c r="Y36" s="217">
        <f t="shared" ref="Y36" si="160">+X36</f>
        <v>0</v>
      </c>
      <c r="Z36" s="217">
        <f t="shared" ref="Z36" si="161">+Y36</f>
        <v>0</v>
      </c>
      <c r="AA36" s="217">
        <f t="shared" ref="AA36" si="162">+Z36</f>
        <v>0</v>
      </c>
      <c r="AB36" s="217">
        <f t="shared" ref="AB36:AC36" si="163">+AA36</f>
        <v>0</v>
      </c>
      <c r="AC36" s="217">
        <f t="shared" si="163"/>
        <v>0</v>
      </c>
    </row>
    <row r="37" spans="1:29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</row>
    <row r="38" spans="1:29">
      <c r="A38" s="208"/>
      <c r="B38" s="208" t="e">
        <f>+[2]BP!B55</f>
        <v>#REF!</v>
      </c>
      <c r="C38" s="208"/>
      <c r="D38" s="217">
        <f t="shared" ref="D38:AC38" si="164">-D39*D$9/D$7</f>
        <v>0</v>
      </c>
      <c r="E38" s="217">
        <f t="shared" si="164"/>
        <v>0</v>
      </c>
      <c r="F38" s="217">
        <f t="shared" si="164"/>
        <v>0</v>
      </c>
      <c r="G38" s="217">
        <f t="shared" si="164"/>
        <v>0</v>
      </c>
      <c r="H38" s="217">
        <f t="shared" si="164"/>
        <v>0</v>
      </c>
      <c r="I38" s="217">
        <f t="shared" si="164"/>
        <v>0</v>
      </c>
      <c r="J38" s="217">
        <f t="shared" si="164"/>
        <v>0</v>
      </c>
      <c r="K38" s="217">
        <f t="shared" si="164"/>
        <v>0</v>
      </c>
      <c r="L38" s="217">
        <f t="shared" si="164"/>
        <v>0</v>
      </c>
      <c r="M38" s="217">
        <f t="shared" si="164"/>
        <v>0</v>
      </c>
      <c r="N38" s="217">
        <f t="shared" si="164"/>
        <v>0</v>
      </c>
      <c r="O38" s="217">
        <f t="shared" si="164"/>
        <v>0</v>
      </c>
      <c r="P38" s="217">
        <f t="shared" si="164"/>
        <v>0</v>
      </c>
      <c r="Q38" s="217">
        <f t="shared" si="164"/>
        <v>0</v>
      </c>
      <c r="R38" s="217">
        <f t="shared" si="164"/>
        <v>0</v>
      </c>
      <c r="S38" s="217">
        <f t="shared" si="164"/>
        <v>0</v>
      </c>
      <c r="T38" s="217">
        <f t="shared" si="164"/>
        <v>0</v>
      </c>
      <c r="U38" s="217">
        <f t="shared" si="164"/>
        <v>0</v>
      </c>
      <c r="V38" s="217">
        <f t="shared" si="164"/>
        <v>0</v>
      </c>
      <c r="W38" s="217">
        <f t="shared" si="164"/>
        <v>0</v>
      </c>
      <c r="X38" s="217">
        <f t="shared" si="164"/>
        <v>0</v>
      </c>
      <c r="Y38" s="217">
        <f t="shared" si="164"/>
        <v>0</v>
      </c>
      <c r="Z38" s="217">
        <f t="shared" si="164"/>
        <v>0</v>
      </c>
      <c r="AA38" s="217">
        <f t="shared" si="164"/>
        <v>0</v>
      </c>
      <c r="AB38" s="217">
        <f t="shared" si="164"/>
        <v>0</v>
      </c>
      <c r="AC38" s="217">
        <f t="shared" si="164"/>
        <v>0</v>
      </c>
    </row>
    <row r="39" spans="1:29">
      <c r="A39" s="208"/>
      <c r="B39" s="208" t="s">
        <v>488</v>
      </c>
      <c r="C39" s="208"/>
      <c r="D39" s="218">
        <v>0</v>
      </c>
      <c r="E39" s="217">
        <f t="shared" ref="E39:L39" si="165">+D39</f>
        <v>0</v>
      </c>
      <c r="F39" s="217">
        <f t="shared" si="165"/>
        <v>0</v>
      </c>
      <c r="G39" s="217">
        <f t="shared" si="165"/>
        <v>0</v>
      </c>
      <c r="H39" s="217">
        <f t="shared" si="165"/>
        <v>0</v>
      </c>
      <c r="I39" s="217">
        <f t="shared" si="165"/>
        <v>0</v>
      </c>
      <c r="J39" s="217">
        <f t="shared" si="165"/>
        <v>0</v>
      </c>
      <c r="K39" s="217">
        <f t="shared" si="165"/>
        <v>0</v>
      </c>
      <c r="L39" s="217">
        <f t="shared" si="165"/>
        <v>0</v>
      </c>
      <c r="M39" s="217">
        <f t="shared" ref="M39" si="166">+L39</f>
        <v>0</v>
      </c>
      <c r="N39" s="217">
        <f t="shared" ref="N39" si="167">+M39</f>
        <v>0</v>
      </c>
      <c r="O39" s="217">
        <f t="shared" ref="O39" si="168">+N39</f>
        <v>0</v>
      </c>
      <c r="P39" s="217">
        <f t="shared" ref="P39" si="169">+O39</f>
        <v>0</v>
      </c>
      <c r="Q39" s="217">
        <f t="shared" ref="Q39" si="170">+P39</f>
        <v>0</v>
      </c>
      <c r="R39" s="217">
        <f t="shared" ref="R39" si="171">+Q39</f>
        <v>0</v>
      </c>
      <c r="S39" s="217">
        <f t="shared" ref="S39" si="172">+R39</f>
        <v>0</v>
      </c>
      <c r="T39" s="217">
        <f t="shared" ref="T39" si="173">+S39</f>
        <v>0</v>
      </c>
      <c r="U39" s="217">
        <f t="shared" ref="U39" si="174">+T39</f>
        <v>0</v>
      </c>
      <c r="V39" s="217">
        <f t="shared" ref="V39" si="175">+U39</f>
        <v>0</v>
      </c>
      <c r="W39" s="217">
        <f t="shared" ref="W39" si="176">+V39</f>
        <v>0</v>
      </c>
      <c r="X39" s="217">
        <f t="shared" ref="X39" si="177">+W39</f>
        <v>0</v>
      </c>
      <c r="Y39" s="217">
        <f t="shared" ref="Y39" si="178">+X39</f>
        <v>0</v>
      </c>
      <c r="Z39" s="217">
        <f t="shared" ref="Z39" si="179">+Y39</f>
        <v>0</v>
      </c>
      <c r="AA39" s="217">
        <f t="shared" ref="AA39" si="180">+Z39</f>
        <v>0</v>
      </c>
      <c r="AB39" s="217">
        <f t="shared" ref="AB39:AC39" si="181">+AA39</f>
        <v>0</v>
      </c>
      <c r="AC39" s="217">
        <f t="shared" si="181"/>
        <v>0</v>
      </c>
    </row>
    <row r="40" spans="1:29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</row>
    <row r="41" spans="1:29">
      <c r="A41" s="208"/>
      <c r="B41" s="219" t="s">
        <v>489</v>
      </c>
      <c r="C41" s="220">
        <v>0</v>
      </c>
      <c r="D41" s="221">
        <f t="shared" ref="D41:L41" si="182">+D29+D32+D35+D38</f>
        <v>759399.71048239258</v>
      </c>
      <c r="E41" s="221">
        <f t="shared" si="182"/>
        <v>805396.39028491243</v>
      </c>
      <c r="F41" s="221">
        <f t="shared" si="182"/>
        <v>854196.02889547299</v>
      </c>
      <c r="G41" s="221">
        <f t="shared" si="182"/>
        <v>903495.21362624352</v>
      </c>
      <c r="H41" s="221">
        <f t="shared" si="182"/>
        <v>960902.48878903547</v>
      </c>
      <c r="I41" s="221">
        <f t="shared" si="182"/>
        <v>1019185.6864339791</v>
      </c>
      <c r="J41" s="221">
        <f t="shared" si="182"/>
        <v>1081025.9289698601</v>
      </c>
      <c r="K41" s="221">
        <f t="shared" si="182"/>
        <v>1143508.8719373376</v>
      </c>
      <c r="L41" s="222">
        <f t="shared" si="182"/>
        <v>1216265.2494706376</v>
      </c>
      <c r="M41" s="222">
        <f t="shared" ref="M41:AB41" si="183">+M29+M32+M35+M38</f>
        <v>1286617.8057958432</v>
      </c>
      <c r="N41" s="222">
        <f t="shared" si="183"/>
        <v>1361078.0792893113</v>
      </c>
      <c r="O41" s="222">
        <f t="shared" si="183"/>
        <v>1439888.2289747712</v>
      </c>
      <c r="P41" s="222">
        <f t="shared" si="183"/>
        <v>1523304.784349273</v>
      </c>
      <c r="Q41" s="222">
        <f t="shared" si="183"/>
        <v>1611599.5782652784</v>
      </c>
      <c r="R41" s="222">
        <f t="shared" si="183"/>
        <v>1705060.5952699943</v>
      </c>
      <c r="S41" s="222">
        <f t="shared" si="183"/>
        <v>1803993.0430971489</v>
      </c>
      <c r="T41" s="222">
        <f t="shared" si="183"/>
        <v>1908720.3238102552</v>
      </c>
      <c r="U41" s="222">
        <f t="shared" si="183"/>
        <v>2019585.1031361774</v>
      </c>
      <c r="V41" s="222">
        <f t="shared" si="183"/>
        <v>2136950.5323931254</v>
      </c>
      <c r="W41" s="222">
        <f t="shared" si="183"/>
        <v>2261201.4845081787</v>
      </c>
      <c r="X41" s="222">
        <f t="shared" si="183"/>
        <v>2392745.7577557941</v>
      </c>
      <c r="Y41" s="222">
        <f t="shared" si="183"/>
        <v>2532015.6538865403</v>
      </c>
      <c r="Z41" s="222">
        <f t="shared" si="183"/>
        <v>2679469.2387008173</v>
      </c>
      <c r="AA41" s="222">
        <f t="shared" si="183"/>
        <v>2835592.0858932696</v>
      </c>
      <c r="AB41" s="222">
        <f t="shared" si="183"/>
        <v>3000898.8116254346</v>
      </c>
      <c r="AC41" s="222">
        <f t="shared" ref="AC41" si="184">+AC29+AC32+AC35+AC38</f>
        <v>0</v>
      </c>
    </row>
    <row r="42" spans="1:29">
      <c r="A42" s="208"/>
      <c r="B42" s="215" t="s">
        <v>487</v>
      </c>
      <c r="C42" s="216"/>
      <c r="D42" s="223">
        <f t="shared" ref="D42:L42" si="185">+D41-C41</f>
        <v>759399.71048239258</v>
      </c>
      <c r="E42" s="223">
        <f t="shared" si="185"/>
        <v>45996.679802519851</v>
      </c>
      <c r="F42" s="223">
        <f t="shared" si="185"/>
        <v>48799.638610560563</v>
      </c>
      <c r="G42" s="223">
        <f t="shared" si="185"/>
        <v>49299.184730770532</v>
      </c>
      <c r="H42" s="223">
        <f t="shared" si="185"/>
        <v>57407.27516279195</v>
      </c>
      <c r="I42" s="223">
        <f t="shared" si="185"/>
        <v>58283.197644943604</v>
      </c>
      <c r="J42" s="223">
        <f t="shared" si="185"/>
        <v>61840.242535881</v>
      </c>
      <c r="K42" s="223">
        <f t="shared" si="185"/>
        <v>62482.942967477487</v>
      </c>
      <c r="L42" s="224">
        <f t="shared" si="185"/>
        <v>72756.377533300081</v>
      </c>
      <c r="M42" s="224">
        <f t="shared" ref="M42" si="186">+M41-L41</f>
        <v>70352.556325205602</v>
      </c>
      <c r="N42" s="224">
        <f t="shared" ref="N42" si="187">+N41-M41</f>
        <v>74460.273493468063</v>
      </c>
      <c r="O42" s="224">
        <f t="shared" ref="O42" si="188">+O41-N41</f>
        <v>78810.14968545991</v>
      </c>
      <c r="P42" s="224">
        <f t="shared" ref="P42" si="189">+P41-O41</f>
        <v>83416.555374501739</v>
      </c>
      <c r="Q42" s="224">
        <f t="shared" ref="Q42" si="190">+Q41-P41</f>
        <v>88294.793916005408</v>
      </c>
      <c r="R42" s="224">
        <f t="shared" ref="R42" si="191">+R41-Q41</f>
        <v>93461.017004715977</v>
      </c>
      <c r="S42" s="224">
        <f t="shared" ref="S42" si="192">+S41-R41</f>
        <v>98932.447827154538</v>
      </c>
      <c r="T42" s="224">
        <f t="shared" ref="T42" si="193">+T41-S41</f>
        <v>104727.28071310627</v>
      </c>
      <c r="U42" s="224">
        <f t="shared" ref="U42" si="194">+U41-T41</f>
        <v>110864.77932592225</v>
      </c>
      <c r="V42" s="224">
        <f t="shared" ref="V42" si="195">+V41-U41</f>
        <v>117365.42925694794</v>
      </c>
      <c r="W42" s="224">
        <f t="shared" ref="W42" si="196">+W41-V41</f>
        <v>124250.95211505331</v>
      </c>
      <c r="X42" s="224">
        <f t="shared" ref="X42" si="197">+X41-W41</f>
        <v>131544.27324761543</v>
      </c>
      <c r="Y42" s="224">
        <f t="shared" ref="Y42" si="198">+Y41-X41</f>
        <v>139269.89613074623</v>
      </c>
      <c r="Z42" s="224">
        <f t="shared" ref="Z42" si="199">+Z41-Y41</f>
        <v>147453.58481427701</v>
      </c>
      <c r="AA42" s="224">
        <f t="shared" ref="AA42" si="200">+AA41-Z41</f>
        <v>156122.84719245229</v>
      </c>
      <c r="AB42" s="224">
        <f t="shared" ref="AB42" si="201">+AB41-AA41</f>
        <v>165306.72573216492</v>
      </c>
      <c r="AC42" s="224">
        <f>+AC41-AB41</f>
        <v>-3000898.8116254346</v>
      </c>
    </row>
    <row r="43" spans="1:29">
      <c r="A43" s="208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</row>
    <row r="44" spans="1:29">
      <c r="A44" s="208" t="s">
        <v>490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</row>
    <row r="45" spans="1:29">
      <c r="A45" s="208"/>
      <c r="B45" s="219" t="s">
        <v>491</v>
      </c>
      <c r="C45" s="220">
        <v>0</v>
      </c>
      <c r="D45" s="221">
        <f>D41-D26</f>
        <v>-2899514.5586434109</v>
      </c>
      <c r="E45" s="221">
        <f t="shared" ref="E45:L45" si="202">E41-E26</f>
        <v>-2732867.4484404903</v>
      </c>
      <c r="F45" s="221">
        <f t="shared" si="202"/>
        <v>-2915270.2865956803</v>
      </c>
      <c r="G45" s="221">
        <f t="shared" si="202"/>
        <v>-3101327.4832670582</v>
      </c>
      <c r="H45" s="221">
        <f t="shared" si="202"/>
        <v>-3317338.4148291419</v>
      </c>
      <c r="I45" s="221">
        <f t="shared" si="202"/>
        <v>-3538674.4766418049</v>
      </c>
      <c r="J45" s="221">
        <f t="shared" si="202"/>
        <v>-3774750.7423579311</v>
      </c>
      <c r="K45" s="221">
        <f t="shared" si="202"/>
        <v>-4015547.4861196196</v>
      </c>
      <c r="L45" s="222">
        <f t="shared" si="202"/>
        <v>-4295112.9856712539</v>
      </c>
      <c r="M45" s="222">
        <f t="shared" ref="M45:AB45" si="203">M41-M26</f>
        <v>-4569040.3582168575</v>
      </c>
      <c r="N45" s="222">
        <f t="shared" si="203"/>
        <v>-5010195.7029064642</v>
      </c>
      <c r="O45" s="222">
        <f t="shared" si="203"/>
        <v>-5170427.8947218265</v>
      </c>
      <c r="P45" s="222">
        <f t="shared" si="203"/>
        <v>-5500189.6674669385</v>
      </c>
      <c r="Q45" s="222">
        <f t="shared" si="203"/>
        <v>-5850987.5804066947</v>
      </c>
      <c r="R45" s="222">
        <f t="shared" si="203"/>
        <v>-6224161.8987279646</v>
      </c>
      <c r="S45" s="222">
        <f t="shared" si="203"/>
        <v>-6621141.8420801396</v>
      </c>
      <c r="T45" s="222">
        <f t="shared" si="203"/>
        <v>-7043447.3087455183</v>
      </c>
      <c r="U45" s="222">
        <f t="shared" si="203"/>
        <v>-7492692.8169731172</v>
      </c>
      <c r="V45" s="222">
        <f t="shared" si="203"/>
        <v>-7970597.5271667652</v>
      </c>
      <c r="W45" s="222">
        <f t="shared" si="203"/>
        <v>-8478992.1456067674</v>
      </c>
      <c r="X45" s="222">
        <f t="shared" si="203"/>
        <v>-9019818.6776698492</v>
      </c>
      <c r="Y45" s="222">
        <f t="shared" si="203"/>
        <v>-9595150.5253815446</v>
      </c>
      <c r="Z45" s="222">
        <f t="shared" si="203"/>
        <v>-10207186.704496413</v>
      </c>
      <c r="AA45" s="222">
        <f t="shared" si="203"/>
        <v>-10858271.879123837</v>
      </c>
      <c r="AB45" s="222">
        <f t="shared" si="203"/>
        <v>-11550896.939514888</v>
      </c>
      <c r="AC45" s="222">
        <f t="shared" ref="AC45" si="204">AC41-AC26</f>
        <v>0</v>
      </c>
    </row>
    <row r="46" spans="1:29">
      <c r="A46" s="208"/>
      <c r="B46" s="226" t="s">
        <v>492</v>
      </c>
      <c r="C46" s="227"/>
      <c r="D46" s="228">
        <f t="shared" ref="D46:L46" si="205">+D45-C45</f>
        <v>-2899514.5586434109</v>
      </c>
      <c r="E46" s="228">
        <f>+E45-D45</f>
        <v>166647.11020292062</v>
      </c>
      <c r="F46" s="228">
        <f t="shared" si="205"/>
        <v>-182402.83815518999</v>
      </c>
      <c r="G46" s="228">
        <f t="shared" si="205"/>
        <v>-186057.19667137787</v>
      </c>
      <c r="H46" s="228">
        <f t="shared" si="205"/>
        <v>-216010.93156208377</v>
      </c>
      <c r="I46" s="228">
        <f>+I45-H45</f>
        <v>-221336.06181266299</v>
      </c>
      <c r="J46" s="228">
        <f t="shared" si="205"/>
        <v>-236076.26571612619</v>
      </c>
      <c r="K46" s="228">
        <f t="shared" si="205"/>
        <v>-240796.74376168847</v>
      </c>
      <c r="L46" s="229">
        <f t="shared" si="205"/>
        <v>-279565.4995516343</v>
      </c>
      <c r="M46" s="229">
        <f t="shared" ref="M46" si="206">+M45-L45</f>
        <v>-273927.37254560366</v>
      </c>
      <c r="N46" s="229">
        <f t="shared" ref="N46" si="207">+N45-M45</f>
        <v>-441155.34468960669</v>
      </c>
      <c r="O46" s="229">
        <f t="shared" ref="O46" si="208">+O45-N45</f>
        <v>-160232.19181536231</v>
      </c>
      <c r="P46" s="229">
        <f t="shared" ref="P46" si="209">+P45-O45</f>
        <v>-329761.77274511196</v>
      </c>
      <c r="Q46" s="229">
        <f t="shared" ref="Q46" si="210">+Q45-P45</f>
        <v>-350797.91293975618</v>
      </c>
      <c r="R46" s="229">
        <f t="shared" ref="R46" si="211">+R45-Q45</f>
        <v>-373174.31832126994</v>
      </c>
      <c r="S46" s="229">
        <f t="shared" ref="S46" si="212">+S45-R45</f>
        <v>-396979.94335217495</v>
      </c>
      <c r="T46" s="229">
        <f t="shared" ref="T46" si="213">+T45-S45</f>
        <v>-422305.46666537877</v>
      </c>
      <c r="U46" s="229">
        <f t="shared" ref="U46" si="214">+U45-T45</f>
        <v>-449245.50822759885</v>
      </c>
      <c r="V46" s="229">
        <f t="shared" ref="V46" si="215">+V45-U45</f>
        <v>-477904.710193648</v>
      </c>
      <c r="W46" s="229">
        <f t="shared" ref="W46" si="216">+W45-V45</f>
        <v>-508394.6184400022</v>
      </c>
      <c r="X46" s="229">
        <f t="shared" ref="X46" si="217">+X45-W45</f>
        <v>-540826.53206308186</v>
      </c>
      <c r="Y46" s="229">
        <f t="shared" ref="Y46" si="218">+Y45-X45</f>
        <v>-575331.84771169536</v>
      </c>
      <c r="Z46" s="229">
        <f t="shared" ref="Z46" si="219">+Z45-Y45</f>
        <v>-612036.17911486886</v>
      </c>
      <c r="AA46" s="229">
        <f t="shared" ref="AA46" si="220">+AA45-Z45</f>
        <v>-651085.17462742329</v>
      </c>
      <c r="AB46" s="229">
        <f t="shared" ref="AB46:AC46" si="221">+AB45-AA45</f>
        <v>-692625.06039105169</v>
      </c>
      <c r="AC46" s="229">
        <f t="shared" si="221"/>
        <v>11550896.939514888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2"/>
  <sheetViews>
    <sheetView zoomScale="105" workbookViewId="0">
      <selection activeCell="C11" sqref="C11"/>
    </sheetView>
  </sheetViews>
  <sheetFormatPr baseColWidth="10" defaultColWidth="8.83203125" defaultRowHeight="15"/>
  <cols>
    <col min="1" max="1" width="34.33203125" bestFit="1" customWidth="1"/>
    <col min="3" max="3" width="15" bestFit="1" customWidth="1"/>
    <col min="4" max="6" width="13.5" bestFit="1" customWidth="1"/>
    <col min="7" max="7" width="14.83203125" customWidth="1"/>
    <col min="8" max="8" width="15.5" customWidth="1"/>
    <col min="9" max="9" width="14.5" customWidth="1"/>
    <col min="10" max="10" width="11.83203125" bestFit="1" customWidth="1"/>
    <col min="11" max="11" width="13" customWidth="1"/>
    <col min="12" max="14" width="13" bestFit="1" customWidth="1"/>
    <col min="15" max="22" width="12.1640625" bestFit="1" customWidth="1"/>
    <col min="23" max="28" width="13.1640625" bestFit="1" customWidth="1"/>
  </cols>
  <sheetData>
    <row r="1" spans="1:29">
      <c r="A1" s="511" t="s">
        <v>461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29">
      <c r="A2" s="107"/>
      <c r="B2" s="107"/>
      <c r="C2" s="108" t="s">
        <v>181</v>
      </c>
      <c r="D2" s="108" t="s">
        <v>182</v>
      </c>
      <c r="E2" s="108" t="s">
        <v>183</v>
      </c>
      <c r="F2" s="108" t="s">
        <v>184</v>
      </c>
      <c r="G2" s="108" t="s">
        <v>185</v>
      </c>
      <c r="H2" s="108" t="s">
        <v>186</v>
      </c>
      <c r="I2" s="108" t="s">
        <v>187</v>
      </c>
      <c r="J2" s="108" t="s">
        <v>188</v>
      </c>
      <c r="K2" s="108" t="s">
        <v>189</v>
      </c>
      <c r="L2" s="108" t="s">
        <v>190</v>
      </c>
      <c r="M2" s="108" t="s">
        <v>191</v>
      </c>
      <c r="N2" s="108" t="s">
        <v>202</v>
      </c>
      <c r="O2" s="108" t="s">
        <v>203</v>
      </c>
      <c r="P2" s="108" t="s">
        <v>204</v>
      </c>
      <c r="Q2" s="108" t="s">
        <v>205</v>
      </c>
      <c r="R2" s="108" t="s">
        <v>206</v>
      </c>
      <c r="S2" s="108" t="s">
        <v>207</v>
      </c>
      <c r="T2" s="108" t="s">
        <v>208</v>
      </c>
      <c r="U2" s="108" t="s">
        <v>209</v>
      </c>
      <c r="V2" s="108" t="s">
        <v>210</v>
      </c>
      <c r="W2" s="108" t="s">
        <v>211</v>
      </c>
      <c r="X2" s="108" t="s">
        <v>212</v>
      </c>
      <c r="Y2" s="108" t="s">
        <v>213</v>
      </c>
      <c r="Z2" s="108" t="s">
        <v>214</v>
      </c>
      <c r="AA2" s="108" t="s">
        <v>215</v>
      </c>
      <c r="AB2" s="108" t="s">
        <v>216</v>
      </c>
    </row>
    <row r="3" spans="1:29">
      <c r="A3" s="109" t="s">
        <v>200</v>
      </c>
      <c r="B3" s="109"/>
      <c r="C3" s="172">
        <f>DRE!C21</f>
        <v>0</v>
      </c>
      <c r="D3" s="172">
        <f>DRE!D21</f>
        <v>4136680.1116443216</v>
      </c>
      <c r="E3" s="172">
        <f>DRE!E21</f>
        <v>3047400.3471679157</v>
      </c>
      <c r="F3" s="172">
        <f>DRE!F21</f>
        <v>3409830.4151184037</v>
      </c>
      <c r="G3" s="172">
        <f>DRE!G21</f>
        <v>3798687.5916157281</v>
      </c>
      <c r="H3" s="172">
        <f>DRE!H21</f>
        <v>4215859.651796665</v>
      </c>
      <c r="I3" s="172">
        <f>DRE!I21</f>
        <v>4663362.7286000783</v>
      </c>
      <c r="J3" s="172">
        <f>DRE!J21</f>
        <v>5143351.3343952578</v>
      </c>
      <c r="K3" s="172">
        <f>DRE!K21</f>
        <v>5658141.0473089702</v>
      </c>
      <c r="L3" s="172">
        <f>DRE!L21</f>
        <v>6210196.4100088347</v>
      </c>
      <c r="M3" s="172">
        <f>DRE!M21</f>
        <v>6802164.2573984228</v>
      </c>
      <c r="N3" s="172">
        <f>DRE!N21</f>
        <v>9070478.8738664165</v>
      </c>
      <c r="O3" s="172">
        <f>DRE!O21</f>
        <v>9114566.5049858242</v>
      </c>
      <c r="P3" s="172">
        <f>DRE!P21</f>
        <v>9844038.3003305048</v>
      </c>
      <c r="Q3" s="172">
        <f>DRE!Q21</f>
        <v>10625975.518848822</v>
      </c>
      <c r="R3" s="172">
        <f>DRE!R21</f>
        <v>11464073.005578574</v>
      </c>
      <c r="S3" s="172">
        <f>DRE!S21</f>
        <v>12362296.752411082</v>
      </c>
      <c r="T3" s="172">
        <f>DRE!T21</f>
        <v>13324886.267267233</v>
      </c>
      <c r="U3" s="172">
        <f>DRE!U21</f>
        <v>14356365.632669225</v>
      </c>
      <c r="V3" s="172">
        <f>DRE!V21</f>
        <v>15461579.617958006</v>
      </c>
      <c r="W3" s="172">
        <f>DRE!W21</f>
        <v>16645716.715561559</v>
      </c>
      <c r="X3" s="172">
        <f>DRE!X21</f>
        <v>18265463.977748454</v>
      </c>
      <c r="Y3" s="172">
        <f>DRE!Y21</f>
        <v>19624435.818250041</v>
      </c>
      <c r="Z3" s="172">
        <f>DRE!Z21</f>
        <v>21080116.088237494</v>
      </c>
      <c r="AA3" s="172">
        <f>DRE!AA21</f>
        <v>22639286.069291152</v>
      </c>
      <c r="AB3" s="172">
        <f>DRE!AB21</f>
        <v>24309181.258218989</v>
      </c>
    </row>
    <row r="4" spans="1:29">
      <c r="A4" s="111" t="s">
        <v>434</v>
      </c>
      <c r="B4" s="117"/>
      <c r="C4" s="112">
        <f>-DRE!C14</f>
        <v>0</v>
      </c>
      <c r="D4" s="112">
        <f>-DRE!D14</f>
        <v>2679657.6185916164</v>
      </c>
      <c r="E4" s="112">
        <f>-DRE!E14</f>
        <v>2679657.6185916164</v>
      </c>
      <c r="F4" s="112">
        <f>-DRE!F14</f>
        <v>2679657.6185916164</v>
      </c>
      <c r="G4" s="112">
        <f>-DRE!G14</f>
        <v>2679657.6185916164</v>
      </c>
      <c r="H4" s="112">
        <f>-DRE!H14</f>
        <v>2679657.6185916164</v>
      </c>
      <c r="I4" s="112">
        <f>-DRE!I14</f>
        <v>2679657.6185916164</v>
      </c>
      <c r="J4" s="112">
        <f>-DRE!J14</f>
        <v>2679657.6185916164</v>
      </c>
      <c r="K4" s="112">
        <f>-DRE!K14</f>
        <v>2679657.6185916164</v>
      </c>
      <c r="L4" s="112">
        <f>-DRE!L14</f>
        <v>2679657.6185916164</v>
      </c>
      <c r="M4" s="112">
        <f>-DRE!M14</f>
        <v>2679657.6185916164</v>
      </c>
      <c r="N4" s="112">
        <f>-DRE!N14</f>
        <v>1168706.9041589601</v>
      </c>
      <c r="O4" s="112">
        <f>-DRE!O14</f>
        <v>1168706.9041589601</v>
      </c>
      <c r="P4" s="112">
        <f>-DRE!P14</f>
        <v>1168706.9041589601</v>
      </c>
      <c r="Q4" s="112">
        <f>-DRE!Q14</f>
        <v>1168706.9041589601</v>
      </c>
      <c r="R4" s="112">
        <f>-DRE!R14</f>
        <v>1168706.9041589601</v>
      </c>
      <c r="S4" s="112">
        <f>-DRE!S14</f>
        <v>1168706.9041589601</v>
      </c>
      <c r="T4" s="112">
        <f>-DRE!T14</f>
        <v>1168706.9041589601</v>
      </c>
      <c r="U4" s="112">
        <f>-DRE!U14</f>
        <v>1168706.9041589601</v>
      </c>
      <c r="V4" s="112">
        <f>-DRE!V14</f>
        <v>1168706.9041589601</v>
      </c>
      <c r="W4" s="112">
        <f>-DRE!W14</f>
        <v>1168706.9041589601</v>
      </c>
      <c r="X4" s="112">
        <f>-DRE!X14</f>
        <v>636642.93945184629</v>
      </c>
      <c r="Y4" s="112">
        <f>-DRE!Y14</f>
        <v>636642.93945184629</v>
      </c>
      <c r="Z4" s="112">
        <f>-DRE!Z14</f>
        <v>636642.93945184629</v>
      </c>
      <c r="AA4" s="112">
        <f>-DRE!AA14</f>
        <v>636642.93945184629</v>
      </c>
      <c r="AB4" s="112">
        <f>-DRE!AB14</f>
        <v>636642.93945184629</v>
      </c>
    </row>
    <row r="5" spans="1:29">
      <c r="A5" s="111" t="s">
        <v>423</v>
      </c>
      <c r="B5" s="118"/>
      <c r="C5" s="112">
        <f>-'Fin. BNB'!E4-C6</f>
        <v>-35147433.992790401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>
        <f>-Reinvestimento!I44-'Encerramento e Monitoramento'!I8</f>
        <v>-8106070.3225060124</v>
      </c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>
        <f>-'Encerramento e Monitoramento'!J8</f>
        <v>-1414213.426790243</v>
      </c>
    </row>
    <row r="6" spans="1:29">
      <c r="A6" s="111" t="s">
        <v>424</v>
      </c>
      <c r="B6" s="118"/>
      <c r="C6" s="112">
        <f>IF('Fin. BNB'!C4=100%,'Capital de Giro'!D46,0)</f>
        <v>-2899514.5586434109</v>
      </c>
      <c r="D6" s="112">
        <f>'Capital de Giro'!E46</f>
        <v>166647.11020292062</v>
      </c>
      <c r="E6" s="112">
        <f>'Capital de Giro'!F46</f>
        <v>-182402.83815518999</v>
      </c>
      <c r="F6" s="112">
        <f>'Capital de Giro'!G46</f>
        <v>-186057.19667137787</v>
      </c>
      <c r="G6" s="112">
        <f>'Capital de Giro'!H46</f>
        <v>-216010.93156208377</v>
      </c>
      <c r="H6" s="112">
        <f>'Capital de Giro'!I46</f>
        <v>-221336.06181266299</v>
      </c>
      <c r="I6" s="112">
        <f>'Capital de Giro'!J46</f>
        <v>-236076.26571612619</v>
      </c>
      <c r="J6" s="112">
        <f>'Capital de Giro'!K46</f>
        <v>-240796.74376168847</v>
      </c>
      <c r="K6" s="112">
        <f>'Capital de Giro'!L46</f>
        <v>-279565.4995516343</v>
      </c>
      <c r="L6" s="112">
        <f>'Capital de Giro'!M46</f>
        <v>-273927.37254560366</v>
      </c>
      <c r="M6" s="112">
        <f>'Capital de Giro'!N46</f>
        <v>-441155.34468960669</v>
      </c>
      <c r="N6" s="112">
        <f>'Capital de Giro'!O46</f>
        <v>-160232.19181536231</v>
      </c>
      <c r="O6" s="112">
        <f>'Capital de Giro'!P46</f>
        <v>-329761.77274511196</v>
      </c>
      <c r="P6" s="112">
        <f>'Capital de Giro'!Q46</f>
        <v>-350797.91293975618</v>
      </c>
      <c r="Q6" s="112">
        <f>'Capital de Giro'!R46</f>
        <v>-373174.31832126994</v>
      </c>
      <c r="R6" s="112">
        <f>'Capital de Giro'!S46</f>
        <v>-396979.94335217495</v>
      </c>
      <c r="S6" s="112">
        <f>'Capital de Giro'!T46</f>
        <v>-422305.46666537877</v>
      </c>
      <c r="T6" s="112">
        <f>'Capital de Giro'!U46</f>
        <v>-449245.50822759885</v>
      </c>
      <c r="U6" s="112">
        <f>'Capital de Giro'!V46</f>
        <v>-477904.710193648</v>
      </c>
      <c r="V6" s="112">
        <f>'Capital de Giro'!W46</f>
        <v>-508394.6184400022</v>
      </c>
      <c r="W6" s="112">
        <f>'Capital de Giro'!X46</f>
        <v>-540826.53206308186</v>
      </c>
      <c r="X6" s="112">
        <f>'Capital de Giro'!Y46</f>
        <v>-575331.84771169536</v>
      </c>
      <c r="Y6" s="112">
        <f>'Capital de Giro'!Z46</f>
        <v>-612036.17911486886</v>
      </c>
      <c r="Z6" s="112">
        <f>'Capital de Giro'!AA46</f>
        <v>-651085.17462742329</v>
      </c>
      <c r="AA6" s="112">
        <f>'Capital de Giro'!AB46</f>
        <v>-692625.06039105169</v>
      </c>
      <c r="AB6" s="112">
        <f>'Capital de Giro'!AC46</f>
        <v>11550896.939514888</v>
      </c>
    </row>
    <row r="7" spans="1:29">
      <c r="A7" s="111" t="s">
        <v>436</v>
      </c>
      <c r="B7" s="118"/>
      <c r="C7" s="112">
        <f>IF(DRE!C19&lt;0,DRE!C18*-1,DRE!C18*(1-DRE!$B$20)*-1)</f>
        <v>0</v>
      </c>
      <c r="D7" s="112">
        <f>IF(DRE!D19&lt;0,DRE!D18*-1,DRE!D18*(1-DRE!$B$20)*-1)</f>
        <v>0</v>
      </c>
      <c r="E7" s="112">
        <f>IF(DRE!E19&lt;0,DRE!E18*-1,DRE!E18*(1-DRE!$B$20)*-1)</f>
        <v>0</v>
      </c>
      <c r="F7" s="112">
        <f>IF(DRE!F19&lt;0,DRE!F18*-1,DRE!F18*(1-DRE!$B$20)*-1)</f>
        <v>0</v>
      </c>
      <c r="G7" s="112">
        <f>IF(DRE!G19&lt;0,DRE!G18*-1,DRE!G18*(1-DRE!$B$20)*-1)</f>
        <v>0</v>
      </c>
      <c r="H7" s="112">
        <f>IF(DRE!H19&lt;0,DRE!H18*-1,DRE!H18*(1-DRE!$B$20)*-1)</f>
        <v>0</v>
      </c>
      <c r="I7" s="112">
        <f>IF(DRE!I19&lt;0,DRE!I18*-1,DRE!I18*(1-DRE!$B$20)*-1)</f>
        <v>0</v>
      </c>
      <c r="J7" s="112">
        <f>IF(DRE!J19&lt;0,DRE!J18*-1,DRE!J18*(1-DRE!$B$20)*-1)</f>
        <v>0</v>
      </c>
      <c r="K7" s="112">
        <f>IF(DRE!K19&lt;0,DRE!K18*-1,DRE!K18*(1-DRE!$B$20)*-1)</f>
        <v>0</v>
      </c>
      <c r="L7" s="112">
        <f>IF(DRE!L19&lt;0,DRE!L18*-1,DRE!L18*(1-DRE!$B$20)*-1)</f>
        <v>0</v>
      </c>
      <c r="M7" s="112">
        <f>IF(DRE!M19&lt;0,DRE!M18*-1,DRE!M18*(1-DRE!$B$20)*-1)</f>
        <v>0</v>
      </c>
      <c r="N7" s="112">
        <f>IF(DRE!N19&lt;0,DRE!N18*-1,DRE!N18*(1-DRE!$B$20)*-1)</f>
        <v>0</v>
      </c>
      <c r="O7" s="112">
        <f>IF(DRE!O19&lt;0,DRE!O18*-1,DRE!O18*(1-DRE!$B$20)*-1)</f>
        <v>0</v>
      </c>
      <c r="P7" s="112">
        <f>IF(DRE!P19&lt;0,DRE!P18*-1,DRE!P18*(1-DRE!$B$20)*-1)</f>
        <v>0</v>
      </c>
      <c r="Q7" s="112">
        <f>IF(DRE!Q19&lt;0,DRE!Q18*-1,DRE!Q18*(1-DRE!$B$20)*-1)</f>
        <v>0</v>
      </c>
      <c r="R7" s="112">
        <f>IF(DRE!R19&lt;0,DRE!R18*-1,DRE!R18*(1-DRE!$B$20)*-1)</f>
        <v>0</v>
      </c>
      <c r="S7" s="112">
        <f>IF(DRE!S19&lt;0,DRE!S18*-1,DRE!S18*(1-DRE!$B$20)*-1)</f>
        <v>0</v>
      </c>
      <c r="T7" s="112">
        <f>IF(DRE!T19&lt;0,DRE!T18*-1,DRE!T18*(1-DRE!$B$20)*-1)</f>
        <v>0</v>
      </c>
      <c r="U7" s="112">
        <f>IF(DRE!U19&lt;0,DRE!U18*-1,DRE!U18*(1-DRE!$B$20)*-1)</f>
        <v>0</v>
      </c>
      <c r="V7" s="112">
        <f>IF(DRE!V19&lt;0,DRE!V18*-1,DRE!V18*(1-DRE!$B$20)*-1)</f>
        <v>0</v>
      </c>
      <c r="W7" s="112">
        <f>IF(DRE!W19&lt;0,DRE!W18*-1,DRE!W18*(1-DRE!$B$20)*-1)</f>
        <v>0</v>
      </c>
      <c r="X7" s="112">
        <f>IF(DRE!X19&lt;0,DRE!X18*-1,DRE!X18*(1-DRE!$B$20)*-1)</f>
        <v>0</v>
      </c>
      <c r="Y7" s="112">
        <f>IF(DRE!Y19&lt;0,DRE!Y18*-1,DRE!Y18*(1-DRE!$B$20)*-1)</f>
        <v>0</v>
      </c>
      <c r="Z7" s="112">
        <f>IF(DRE!Z19&lt;0,DRE!Z18*-1,DRE!Z18*(1-DRE!$B$20)*-1)</f>
        <v>0</v>
      </c>
      <c r="AA7" s="112">
        <f>IF(DRE!AA19&lt;0,DRE!AA18*-1,DRE!AA18*(1-DRE!$B$20)*-1)</f>
        <v>0</v>
      </c>
      <c r="AB7" s="112">
        <f>IF(DRE!AB19&lt;0,DRE!AB18*-1,DRE!AB18*(1-DRE!$B$20)*-1)</f>
        <v>0</v>
      </c>
    </row>
    <row r="8" spans="1:29">
      <c r="A8" s="109" t="s">
        <v>421</v>
      </c>
      <c r="B8" s="109"/>
      <c r="C8" s="110">
        <f t="shared" ref="C8:AB8" si="0">C3+C4+C5+C6+C7</f>
        <v>-38046948.551433809</v>
      </c>
      <c r="D8" s="110">
        <f t="shared" si="0"/>
        <v>6982984.8404388586</v>
      </c>
      <c r="E8" s="110">
        <f t="shared" si="0"/>
        <v>5544655.127604343</v>
      </c>
      <c r="F8" s="110">
        <f t="shared" si="0"/>
        <v>5903430.8370386418</v>
      </c>
      <c r="G8" s="110">
        <f t="shared" si="0"/>
        <v>6262334.2786452612</v>
      </c>
      <c r="H8" s="110">
        <f t="shared" si="0"/>
        <v>6674181.2085756175</v>
      </c>
      <c r="I8" s="110">
        <f t="shared" si="0"/>
        <v>7106944.0814755689</v>
      </c>
      <c r="J8" s="110">
        <f t="shared" si="0"/>
        <v>7582212.2092251852</v>
      </c>
      <c r="K8" s="110">
        <f t="shared" si="0"/>
        <v>8058233.1663489519</v>
      </c>
      <c r="L8" s="110">
        <f t="shared" si="0"/>
        <v>8615926.6560548469</v>
      </c>
      <c r="M8" s="110">
        <f t="shared" si="0"/>
        <v>9040666.531300433</v>
      </c>
      <c r="N8" s="110">
        <f t="shared" si="0"/>
        <v>1972883.2637040028</v>
      </c>
      <c r="O8" s="110">
        <f t="shared" si="0"/>
        <v>9953511.6363996733</v>
      </c>
      <c r="P8" s="110">
        <f t="shared" si="0"/>
        <v>10661947.291549709</v>
      </c>
      <c r="Q8" s="110">
        <f t="shared" si="0"/>
        <v>11421508.104686514</v>
      </c>
      <c r="R8" s="110">
        <f t="shared" si="0"/>
        <v>12235799.966385361</v>
      </c>
      <c r="S8" s="110">
        <f t="shared" si="0"/>
        <v>13108698.189904664</v>
      </c>
      <c r="T8" s="110">
        <f t="shared" si="0"/>
        <v>14044347.663198594</v>
      </c>
      <c r="U8" s="110">
        <f t="shared" si="0"/>
        <v>15047167.826634537</v>
      </c>
      <c r="V8" s="110">
        <f t="shared" si="0"/>
        <v>16121891.903676964</v>
      </c>
      <c r="W8" s="110">
        <f t="shared" si="0"/>
        <v>17273597.087657437</v>
      </c>
      <c r="X8" s="110">
        <f t="shared" si="0"/>
        <v>18326775.069488607</v>
      </c>
      <c r="Y8" s="110">
        <f t="shared" si="0"/>
        <v>19649042.578587018</v>
      </c>
      <c r="Z8" s="110">
        <f t="shared" si="0"/>
        <v>21065673.853061918</v>
      </c>
      <c r="AA8" s="110">
        <f t="shared" si="0"/>
        <v>22583303.948351949</v>
      </c>
      <c r="AB8" s="172">
        <f t="shared" si="0"/>
        <v>35082507.710395485</v>
      </c>
      <c r="AC8" s="173"/>
    </row>
    <row r="9" spans="1:29">
      <c r="A9" s="111" t="s">
        <v>436</v>
      </c>
      <c r="B9" s="111"/>
      <c r="C9" s="112">
        <f>IF(DRE!C19&lt;0,DRE!C18,DRE!C18*(1-DRE!$B$20))</f>
        <v>0</v>
      </c>
      <c r="D9" s="112">
        <f>IF(DRE!D19&lt;0,DRE!D18,DRE!D18*(1-DRE!$B$20))</f>
        <v>0</v>
      </c>
      <c r="E9" s="112">
        <f>IF(DRE!E19&lt;0,DRE!E18,DRE!E18*(1-DRE!$B$20))</f>
        <v>0</v>
      </c>
      <c r="F9" s="112">
        <f>IF(DRE!F19&lt;0,DRE!F18,DRE!F18*(1-DRE!$B$20))</f>
        <v>0</v>
      </c>
      <c r="G9" s="112">
        <f>IF(DRE!G19&lt;0,DRE!G18,DRE!G18*(1-DRE!$B$20))</f>
        <v>0</v>
      </c>
      <c r="H9" s="112">
        <f>IF(DRE!H19&lt;0,DRE!H18,DRE!H18*(1-DRE!$B$20))</f>
        <v>0</v>
      </c>
      <c r="I9" s="112">
        <f>IF(DRE!I19&lt;0,DRE!I18,DRE!I18*(1-DRE!$B$20))</f>
        <v>0</v>
      </c>
      <c r="J9" s="112">
        <f>IF(DRE!J19&lt;0,DRE!J18,DRE!J18*(1-DRE!$B$20))</f>
        <v>0</v>
      </c>
      <c r="K9" s="112">
        <f>IF(DRE!K19&lt;0,DRE!K18,DRE!K18*(1-DRE!$B$20))</f>
        <v>0</v>
      </c>
      <c r="L9" s="112">
        <f>IF(DRE!L19&lt;0,DRE!L18,DRE!L18*(1-DRE!$B$20))</f>
        <v>0</v>
      </c>
      <c r="M9" s="112">
        <f>IF(DRE!M19&lt;0,DRE!M18,DRE!M18*(1-DRE!$B$20))</f>
        <v>0</v>
      </c>
      <c r="N9" s="112">
        <f>IF(DRE!N19&lt;0,DRE!N18,DRE!N18*(1-DRE!$B$20))</f>
        <v>0</v>
      </c>
      <c r="O9" s="112">
        <f>IF(DRE!O19&lt;0,DRE!O18,DRE!O18*(1-DRE!$B$20))</f>
        <v>0</v>
      </c>
      <c r="P9" s="112">
        <f>IF(DRE!P19&lt;0,DRE!P18,DRE!P18*(1-DRE!$B$20))</f>
        <v>0</v>
      </c>
      <c r="Q9" s="112">
        <f>IF(DRE!Q19&lt;0,DRE!Q18,DRE!Q18*(1-DRE!$B$20))</f>
        <v>0</v>
      </c>
      <c r="R9" s="112">
        <f>IF(DRE!R19&lt;0,DRE!R18,DRE!R18*(1-DRE!$B$20))</f>
        <v>0</v>
      </c>
      <c r="S9" s="112">
        <f>IF(DRE!S19&lt;0,DRE!S18,DRE!S18*(1-DRE!$B$20))</f>
        <v>0</v>
      </c>
      <c r="T9" s="112">
        <f>IF(DRE!T19&lt;0,DRE!T18,DRE!T18*(1-DRE!$B$20))</f>
        <v>0</v>
      </c>
      <c r="U9" s="112">
        <f>IF(DRE!U19&lt;0,DRE!U18,DRE!U18*(1-DRE!$B$20))</f>
        <v>0</v>
      </c>
      <c r="V9" s="112">
        <f>IF(DRE!V19&lt;0,DRE!V18,DRE!V18*(1-DRE!$B$20))</f>
        <v>0</v>
      </c>
      <c r="W9" s="112">
        <f>IF(DRE!W19&lt;0,DRE!W18,DRE!W18*(1-DRE!$B$20))</f>
        <v>0</v>
      </c>
      <c r="X9" s="112">
        <f>IF(DRE!X19&lt;0,DRE!X18,DRE!X18*(1-DRE!$B$20))</f>
        <v>0</v>
      </c>
      <c r="Y9" s="112">
        <f>IF(DRE!Y19&lt;0,DRE!Y18,DRE!Y18*(1-DRE!$B$20))</f>
        <v>0</v>
      </c>
      <c r="Z9" s="112">
        <f>IF(DRE!Z19&lt;0,DRE!Z18,DRE!Z18*(1-DRE!$B$20))</f>
        <v>0</v>
      </c>
      <c r="AA9" s="112">
        <f>IF(DRE!AA19&lt;0,DRE!AA18,DRE!AA18*(1-DRE!$B$20))</f>
        <v>0</v>
      </c>
      <c r="AB9" s="112">
        <f>IF(DRE!AB19&lt;0,DRE!AB18,DRE!AB18*(1-DRE!$B$20))</f>
        <v>0</v>
      </c>
    </row>
    <row r="10" spans="1:29">
      <c r="A10" s="111" t="s">
        <v>425</v>
      </c>
      <c r="B10" s="111"/>
      <c r="C10" s="112"/>
      <c r="D10" s="112">
        <f>-'Fin. BNB'!C172</f>
        <v>0</v>
      </c>
      <c r="E10" s="112">
        <f>-'Fin. BNB'!D172</f>
        <v>0</v>
      </c>
      <c r="F10" s="112">
        <f>-'Fin. BNB'!E172</f>
        <v>0</v>
      </c>
      <c r="G10" s="112">
        <f>-'Fin. BNB'!F172</f>
        <v>0</v>
      </c>
      <c r="H10" s="112">
        <f>-'Fin. BNB'!G172</f>
        <v>0</v>
      </c>
      <c r="I10" s="112">
        <f>-'Fin. BNB'!H172</f>
        <v>0</v>
      </c>
      <c r="J10" s="112">
        <f>-'Fin. BNB'!I172</f>
        <v>0</v>
      </c>
      <c r="K10" s="112">
        <f>-'Fin. BNB'!J172</f>
        <v>0</v>
      </c>
      <c r="L10" s="112">
        <f>-'Fin. BNB'!K172</f>
        <v>0</v>
      </c>
      <c r="M10" s="112">
        <f>-'Fin. BNB'!L172</f>
        <v>0</v>
      </c>
      <c r="N10" s="112">
        <f>-'Fin. BNB'!M172</f>
        <v>0</v>
      </c>
      <c r="O10" s="112">
        <f>-'Fin. BNB'!N172</f>
        <v>0</v>
      </c>
      <c r="P10" s="112">
        <f>-'Fin. BNB'!O172</f>
        <v>0</v>
      </c>
      <c r="Q10" s="112">
        <f>-'Fin. BNB'!P172</f>
        <v>0</v>
      </c>
      <c r="R10" s="112">
        <f>-'Fin. BNB'!Q172</f>
        <v>0</v>
      </c>
      <c r="S10" s="112">
        <f>-'Fin. BNB'!R172</f>
        <v>0</v>
      </c>
      <c r="T10" s="112">
        <f>-'Fin. BNB'!S172</f>
        <v>0</v>
      </c>
      <c r="U10" s="112">
        <f>-'Fin. BNB'!T172</f>
        <v>0</v>
      </c>
      <c r="V10" s="112">
        <f>-'Fin. BNB'!U172</f>
        <v>0</v>
      </c>
      <c r="W10" s="112">
        <f>-'Fin. BNB'!V172</f>
        <v>0</v>
      </c>
      <c r="X10" s="112">
        <f>-'Fin. BNB'!W172</f>
        <v>0</v>
      </c>
      <c r="Y10" s="112">
        <f>-'Fin. BNB'!X172</f>
        <v>0</v>
      </c>
      <c r="Z10" s="112">
        <f>-'Fin. BNB'!Y172</f>
        <v>0</v>
      </c>
      <c r="AA10" s="112">
        <f>-'Fin. BNB'!Z172</f>
        <v>0</v>
      </c>
      <c r="AB10" s="112">
        <f>-'Fin. BNB'!AA172</f>
        <v>0</v>
      </c>
    </row>
    <row r="11" spans="1:29">
      <c r="A11" s="109" t="s">
        <v>422</v>
      </c>
      <c r="B11" s="109"/>
      <c r="C11" s="110">
        <f>C8+C9+C10</f>
        <v>-38046948.551433809</v>
      </c>
      <c r="D11" s="110">
        <f t="shared" ref="D11:AB11" si="1">D8+D9+D10</f>
        <v>6982984.8404388586</v>
      </c>
      <c r="E11" s="110">
        <f t="shared" si="1"/>
        <v>5544655.127604343</v>
      </c>
      <c r="F11" s="110">
        <f t="shared" si="1"/>
        <v>5903430.8370386418</v>
      </c>
      <c r="G11" s="110">
        <f t="shared" si="1"/>
        <v>6262334.2786452612</v>
      </c>
      <c r="H11" s="110">
        <f t="shared" si="1"/>
        <v>6674181.2085756175</v>
      </c>
      <c r="I11" s="110">
        <f t="shared" si="1"/>
        <v>7106944.0814755689</v>
      </c>
      <c r="J11" s="110">
        <f t="shared" si="1"/>
        <v>7582212.2092251852</v>
      </c>
      <c r="K11" s="110">
        <f t="shared" si="1"/>
        <v>8058233.1663489519</v>
      </c>
      <c r="L11" s="110">
        <f t="shared" si="1"/>
        <v>8615926.6560548469</v>
      </c>
      <c r="M11" s="110">
        <f t="shared" si="1"/>
        <v>9040666.531300433</v>
      </c>
      <c r="N11" s="110">
        <f t="shared" si="1"/>
        <v>1972883.2637040028</v>
      </c>
      <c r="O11" s="110">
        <f t="shared" si="1"/>
        <v>9953511.6363996733</v>
      </c>
      <c r="P11" s="110">
        <f t="shared" si="1"/>
        <v>10661947.291549709</v>
      </c>
      <c r="Q11" s="110">
        <f t="shared" si="1"/>
        <v>11421508.104686514</v>
      </c>
      <c r="R11" s="110">
        <f t="shared" si="1"/>
        <v>12235799.966385361</v>
      </c>
      <c r="S11" s="110">
        <f t="shared" si="1"/>
        <v>13108698.189904664</v>
      </c>
      <c r="T11" s="110">
        <f t="shared" si="1"/>
        <v>14044347.663198594</v>
      </c>
      <c r="U11" s="110">
        <f t="shared" si="1"/>
        <v>15047167.826634537</v>
      </c>
      <c r="V11" s="110">
        <f t="shared" si="1"/>
        <v>16121891.903676964</v>
      </c>
      <c r="W11" s="110">
        <f t="shared" si="1"/>
        <v>17273597.087657437</v>
      </c>
      <c r="X11" s="110">
        <f t="shared" si="1"/>
        <v>18326775.069488607</v>
      </c>
      <c r="Y11" s="110">
        <f t="shared" si="1"/>
        <v>19649042.578587018</v>
      </c>
      <c r="Z11" s="110">
        <f t="shared" si="1"/>
        <v>21065673.853061918</v>
      </c>
      <c r="AA11" s="110">
        <f t="shared" si="1"/>
        <v>22583303.948351949</v>
      </c>
      <c r="AB11" s="110">
        <f t="shared" si="1"/>
        <v>35082507.710395485</v>
      </c>
    </row>
    <row r="12" spans="1:29">
      <c r="A12" s="109" t="s">
        <v>435</v>
      </c>
      <c r="B12" s="109"/>
      <c r="C12" s="110">
        <f>C11</f>
        <v>-38046948.551433809</v>
      </c>
      <c r="D12" s="110">
        <f>D11+C12</f>
        <v>-31063963.710994951</v>
      </c>
      <c r="E12" s="110">
        <f>E11+D12</f>
        <v>-25519308.583390608</v>
      </c>
      <c r="F12" s="110">
        <f>F11+E12</f>
        <v>-19615877.746351965</v>
      </c>
      <c r="G12" s="110">
        <f t="shared" ref="G12:AB12" si="2">G11+F12</f>
        <v>-13353543.467706703</v>
      </c>
      <c r="H12" s="110">
        <f t="shared" si="2"/>
        <v>-6679362.2591310851</v>
      </c>
      <c r="I12" s="110">
        <f t="shared" si="2"/>
        <v>427581.82234448381</v>
      </c>
      <c r="J12" s="110">
        <f t="shared" si="2"/>
        <v>8009794.031569669</v>
      </c>
      <c r="K12" s="110">
        <f t="shared" si="2"/>
        <v>16068027.19791862</v>
      </c>
      <c r="L12" s="110">
        <f t="shared" si="2"/>
        <v>24683953.853973467</v>
      </c>
      <c r="M12" s="110">
        <f t="shared" si="2"/>
        <v>33724620.385273904</v>
      </c>
      <c r="N12" s="110">
        <f t="shared" si="2"/>
        <v>35697503.648977906</v>
      </c>
      <c r="O12" s="110">
        <f t="shared" si="2"/>
        <v>45651015.285377577</v>
      </c>
      <c r="P12" s="110">
        <f t="shared" si="2"/>
        <v>56312962.576927289</v>
      </c>
      <c r="Q12" s="110">
        <f t="shared" si="2"/>
        <v>67734470.681613803</v>
      </c>
      <c r="R12" s="110">
        <f t="shared" si="2"/>
        <v>79970270.647999167</v>
      </c>
      <c r="S12" s="110">
        <f t="shared" si="2"/>
        <v>93078968.837903827</v>
      </c>
      <c r="T12" s="110">
        <f t="shared" si="2"/>
        <v>107123316.50110242</v>
      </c>
      <c r="U12" s="110">
        <f t="shared" si="2"/>
        <v>122170484.32773696</v>
      </c>
      <c r="V12" s="110">
        <f t="shared" si="2"/>
        <v>138292376.23141393</v>
      </c>
      <c r="W12" s="110">
        <f t="shared" si="2"/>
        <v>155565973.31907135</v>
      </c>
      <c r="X12" s="110">
        <f t="shared" si="2"/>
        <v>173892748.38855997</v>
      </c>
      <c r="Y12" s="110">
        <f t="shared" si="2"/>
        <v>193541790.96714699</v>
      </c>
      <c r="Z12" s="110">
        <f t="shared" si="2"/>
        <v>214607464.82020891</v>
      </c>
      <c r="AA12" s="110">
        <f t="shared" si="2"/>
        <v>237190768.76856086</v>
      </c>
      <c r="AB12" s="110">
        <f t="shared" si="2"/>
        <v>272273276.47895634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7"/>
  <sheetViews>
    <sheetView workbookViewId="0">
      <selection activeCell="F28" sqref="F28"/>
    </sheetView>
  </sheetViews>
  <sheetFormatPr baseColWidth="10" defaultColWidth="8.83203125" defaultRowHeight="15"/>
  <sheetData>
    <row r="1" spans="1:23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</row>
    <row r="2" spans="1:2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ht="17">
      <c r="A3" s="233"/>
      <c r="B3" s="234"/>
      <c r="C3" s="234"/>
      <c r="D3" s="234"/>
      <c r="E3" s="234"/>
      <c r="F3" s="235" t="s">
        <v>493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</row>
    <row r="4" spans="1:23">
      <c r="A4" s="233"/>
      <c r="B4" s="233"/>
      <c r="C4" s="233"/>
      <c r="D4" s="233"/>
      <c r="E4" s="233"/>
      <c r="F4" s="236" t="s">
        <v>494</v>
      </c>
      <c r="G4" s="233"/>
      <c r="H4" s="233"/>
      <c r="I4" s="233"/>
      <c r="J4" s="233"/>
      <c r="K4" s="233"/>
      <c r="L4" s="233" t="s">
        <v>495</v>
      </c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</row>
    <row r="5" spans="1:23">
      <c r="A5" s="233"/>
      <c r="B5" s="237" t="s">
        <v>496</v>
      </c>
      <c r="C5" s="238"/>
      <c r="D5" s="238"/>
      <c r="E5" s="238"/>
      <c r="F5" s="238"/>
      <c r="G5" s="233"/>
      <c r="H5" s="233"/>
      <c r="I5" s="233"/>
      <c r="J5" s="233"/>
      <c r="K5" s="233"/>
      <c r="L5" s="239" t="s">
        <v>497</v>
      </c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</row>
    <row r="6" spans="1:23" ht="17">
      <c r="A6" s="233"/>
      <c r="B6" s="240" t="s">
        <v>498</v>
      </c>
      <c r="C6" s="240"/>
      <c r="D6" s="240"/>
      <c r="E6" s="240"/>
      <c r="F6" s="241">
        <v>3.0700000000000002E-2</v>
      </c>
      <c r="G6" s="233"/>
      <c r="H6" s="233"/>
      <c r="I6" s="233"/>
      <c r="J6" s="233"/>
      <c r="K6" s="233"/>
      <c r="L6" s="239" t="s">
        <v>499</v>
      </c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</row>
    <row r="7" spans="1:23" ht="17">
      <c r="A7" s="233"/>
      <c r="B7" s="240" t="s">
        <v>500</v>
      </c>
      <c r="C7" s="240"/>
      <c r="D7" s="240"/>
      <c r="E7" s="240"/>
      <c r="F7" s="241">
        <v>7.0000000000000007E-2</v>
      </c>
      <c r="G7" s="233"/>
      <c r="H7" s="233"/>
      <c r="I7" s="233"/>
      <c r="J7" s="233"/>
      <c r="K7" s="233"/>
      <c r="L7" s="239" t="s">
        <v>501</v>
      </c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</row>
    <row r="8" spans="1:23" ht="17">
      <c r="A8" s="233"/>
      <c r="B8" s="240" t="s">
        <v>502</v>
      </c>
      <c r="C8" s="240"/>
      <c r="D8" s="240"/>
      <c r="E8" s="240"/>
      <c r="F8" s="241">
        <v>6.3600000000000004E-2</v>
      </c>
      <c r="G8" s="233"/>
      <c r="H8" s="233"/>
      <c r="I8" s="233"/>
      <c r="J8" s="233"/>
      <c r="K8" s="233"/>
      <c r="L8" s="233" t="s">
        <v>503</v>
      </c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</row>
    <row r="9" spans="1:23" ht="17">
      <c r="A9" s="233"/>
      <c r="B9" s="240" t="s">
        <v>504</v>
      </c>
      <c r="C9" s="240"/>
      <c r="D9" s="240"/>
      <c r="E9" s="240"/>
      <c r="F9" s="242">
        <v>0.7</v>
      </c>
      <c r="G9" s="233"/>
      <c r="H9" s="233"/>
      <c r="I9" s="233"/>
      <c r="J9" s="233"/>
      <c r="K9" s="233"/>
      <c r="L9" s="233" t="s">
        <v>505</v>
      </c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</row>
    <row r="10" spans="1:23">
      <c r="A10" s="233"/>
      <c r="B10" s="240" t="s">
        <v>506</v>
      </c>
      <c r="C10" s="240"/>
      <c r="D10" s="240"/>
      <c r="E10" s="240"/>
      <c r="F10" s="243">
        <v>0.34</v>
      </c>
      <c r="G10" s="233"/>
      <c r="H10" s="233"/>
      <c r="I10" s="233"/>
      <c r="J10" s="233"/>
      <c r="K10" s="233"/>
      <c r="L10" s="233" t="s">
        <v>507</v>
      </c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</row>
    <row r="11" spans="1:23">
      <c r="A11" s="233"/>
      <c r="B11" s="240" t="s">
        <v>749</v>
      </c>
      <c r="C11" s="240"/>
      <c r="D11" s="240"/>
      <c r="E11" s="240"/>
      <c r="F11" s="244">
        <v>0</v>
      </c>
      <c r="G11" s="245"/>
      <c r="H11" s="233"/>
      <c r="I11" s="233"/>
      <c r="J11" s="233"/>
      <c r="K11" s="233"/>
      <c r="L11" s="233" t="s">
        <v>508</v>
      </c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</row>
    <row r="12" spans="1:23">
      <c r="A12" s="233"/>
      <c r="B12" s="240" t="s">
        <v>509</v>
      </c>
      <c r="C12" s="240"/>
      <c r="D12" s="240"/>
      <c r="E12" s="240"/>
      <c r="F12" s="246">
        <f>F9*(1+(1-F10)*F11)</f>
        <v>0.7</v>
      </c>
      <c r="G12" s="233"/>
      <c r="H12" s="233"/>
      <c r="I12" s="233"/>
      <c r="J12" s="233"/>
      <c r="K12" s="233"/>
      <c r="L12" s="233" t="s">
        <v>510</v>
      </c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3">
      <c r="A13" s="233"/>
      <c r="B13" s="247" t="s">
        <v>511</v>
      </c>
      <c r="C13" s="247"/>
      <c r="D13" s="247"/>
      <c r="E13" s="247"/>
      <c r="F13" s="248">
        <f>F6+F12*F7+F8</f>
        <v>0.14330000000000001</v>
      </c>
      <c r="G13" s="245"/>
      <c r="H13" s="233"/>
      <c r="I13" s="233"/>
      <c r="J13" s="233"/>
      <c r="K13" s="233"/>
      <c r="L13" s="233" t="s">
        <v>512</v>
      </c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1:23" ht="16">
      <c r="A14" s="233"/>
      <c r="B14" s="249" t="s">
        <v>513</v>
      </c>
      <c r="C14" s="249"/>
      <c r="D14" s="249"/>
      <c r="E14" s="249"/>
      <c r="F14" s="250">
        <v>2.7E-2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</row>
    <row r="15" spans="1:23">
      <c r="A15" s="233"/>
      <c r="B15" s="247" t="s">
        <v>514</v>
      </c>
      <c r="C15" s="247"/>
      <c r="D15" s="247"/>
      <c r="E15" s="247"/>
      <c r="F15" s="248">
        <f t="shared" ref="F15" si="0">F13+F14</f>
        <v>0.17030000000000001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</row>
    <row r="16" spans="1:23" ht="17">
      <c r="A16" s="233"/>
      <c r="B16" s="240" t="s">
        <v>515</v>
      </c>
      <c r="C16" s="240"/>
      <c r="D16" s="240"/>
      <c r="E16" s="240"/>
      <c r="F16" s="241">
        <v>2.4E-2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</row>
    <row r="17" spans="1:23" ht="17">
      <c r="A17" s="233"/>
      <c r="B17" s="240" t="s">
        <v>516</v>
      </c>
      <c r="C17" s="240"/>
      <c r="D17" s="240"/>
      <c r="E17" s="240"/>
      <c r="F17" s="241">
        <v>4.4999999999999998E-2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</row>
    <row r="18" spans="1:23">
      <c r="A18" s="233"/>
      <c r="B18" s="247" t="s">
        <v>517</v>
      </c>
      <c r="C18" s="251"/>
      <c r="D18" s="251"/>
      <c r="E18" s="251"/>
      <c r="F18" s="248">
        <f>(1+F15)/(1+F16)*(1+F17)-1</f>
        <v>0.19430029296875007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23">
      <c r="A19" s="233"/>
      <c r="B19" s="233"/>
      <c r="C19" s="233"/>
      <c r="D19" s="233"/>
      <c r="E19" s="233"/>
      <c r="F19" s="252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</row>
    <row r="20" spans="1:23">
      <c r="A20" s="233"/>
      <c r="B20" s="253" t="s">
        <v>518</v>
      </c>
      <c r="C20" s="254"/>
      <c r="D20" s="254"/>
      <c r="E20" s="254"/>
      <c r="F20" s="254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</row>
    <row r="21" spans="1:23" ht="17">
      <c r="A21" s="233"/>
      <c r="B21" s="240" t="s">
        <v>519</v>
      </c>
      <c r="C21" s="240"/>
      <c r="D21" s="240"/>
      <c r="E21" s="240"/>
      <c r="F21" s="241">
        <v>0.2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</row>
    <row r="22" spans="1:23" ht="17">
      <c r="A22" s="233"/>
      <c r="B22" s="240" t="s">
        <v>520</v>
      </c>
      <c r="C22" s="240"/>
      <c r="D22" s="240"/>
      <c r="E22" s="240"/>
      <c r="F22" s="241">
        <f t="shared" ref="F22" si="1">F10</f>
        <v>0.34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</row>
    <row r="23" spans="1:23">
      <c r="A23" s="233"/>
      <c r="B23" s="247" t="s">
        <v>521</v>
      </c>
      <c r="C23" s="251"/>
      <c r="D23" s="251"/>
      <c r="E23" s="251"/>
      <c r="F23" s="248">
        <f t="shared" ref="F23" si="2">F21*(1-F22)</f>
        <v>0.13199999999999998</v>
      </c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</row>
    <row r="24" spans="1:23">
      <c r="A24" s="233"/>
      <c r="B24" s="233"/>
      <c r="C24" s="233"/>
      <c r="D24" s="233"/>
      <c r="E24" s="233"/>
      <c r="F24" s="252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</row>
    <row r="25" spans="1:23">
      <c r="A25" s="233"/>
      <c r="B25" s="253" t="s">
        <v>522</v>
      </c>
      <c r="C25" s="254"/>
      <c r="D25" s="254"/>
      <c r="E25" s="254"/>
      <c r="F25" s="254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</row>
    <row r="26" spans="1:23">
      <c r="A26" s="233"/>
      <c r="B26" s="240" t="s">
        <v>523</v>
      </c>
      <c r="C26" s="233"/>
      <c r="D26" s="233"/>
      <c r="E26" s="233"/>
      <c r="F26" s="241">
        <f t="shared" ref="F26" si="3">(F11/(F11+1))</f>
        <v>0</v>
      </c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</row>
    <row r="27" spans="1:23">
      <c r="A27" s="233"/>
      <c r="B27" s="240" t="s">
        <v>524</v>
      </c>
      <c r="C27" s="233"/>
      <c r="D27" s="233"/>
      <c r="E27" s="233"/>
      <c r="F27" s="241">
        <f t="shared" ref="F27" si="4">1-F26</f>
        <v>1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</row>
    <row r="28" spans="1:23">
      <c r="A28" s="233"/>
      <c r="B28" s="247" t="s">
        <v>525</v>
      </c>
      <c r="C28" s="255"/>
      <c r="D28" s="255"/>
      <c r="E28" s="255"/>
      <c r="F28" s="248">
        <f>F18*F27+F23*F26</f>
        <v>0.19430029296875007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</row>
    <row r="29" spans="1:23">
      <c r="A29" s="233"/>
      <c r="B29" s="240"/>
      <c r="C29" s="240"/>
      <c r="D29" s="240"/>
      <c r="E29" s="240"/>
      <c r="F29" s="241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</row>
    <row r="30" spans="1:23">
      <c r="A30" s="233"/>
      <c r="B30" s="240"/>
      <c r="C30" s="240"/>
      <c r="D30" s="240"/>
      <c r="E30" s="240"/>
      <c r="F30" s="241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</row>
    <row r="31" spans="1:23">
      <c r="A31" s="233"/>
      <c r="B31" s="256"/>
      <c r="C31" s="240"/>
      <c r="D31" s="240"/>
      <c r="E31" s="240"/>
      <c r="F31" s="257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</row>
    <row r="32" spans="1:23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</row>
    <row r="33" spans="1:23">
      <c r="A33" s="233"/>
      <c r="B33" s="258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</row>
    <row r="34" spans="1:23" ht="17">
      <c r="A34" s="233"/>
      <c r="B34" s="259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</row>
    <row r="35" spans="1:23" ht="17">
      <c r="A35" s="233"/>
      <c r="B35" s="259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</row>
    <row r="36" spans="1:23">
      <c r="A36" s="233"/>
      <c r="B36" s="258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</row>
    <row r="37" spans="1:23">
      <c r="A37" s="233"/>
      <c r="B37" s="258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1"/>
  <sheetViews>
    <sheetView tabSelected="1" workbookViewId="0">
      <selection activeCell="D13" sqref="D13"/>
    </sheetView>
  </sheetViews>
  <sheetFormatPr baseColWidth="10" defaultColWidth="8.83203125" defaultRowHeight="15"/>
  <cols>
    <col min="1" max="1" width="38.5" bestFit="1" customWidth="1"/>
    <col min="2" max="3" width="14.1640625" bestFit="1" customWidth="1"/>
    <col min="4" max="4" width="21.5" customWidth="1"/>
    <col min="5" max="5" width="15" bestFit="1" customWidth="1"/>
    <col min="6" max="6" width="14.1640625" bestFit="1" customWidth="1"/>
    <col min="7" max="10" width="13.5" bestFit="1" customWidth="1"/>
    <col min="11" max="11" width="14.83203125" bestFit="1" customWidth="1"/>
    <col min="12" max="12" width="13.5" bestFit="1" customWidth="1"/>
    <col min="13" max="27" width="14.5" bestFit="1" customWidth="1"/>
  </cols>
  <sheetData>
    <row r="1" spans="1:27" ht="25">
      <c r="A1" s="513" t="s">
        <v>217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</row>
    <row r="2" spans="1:27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7" ht="18">
      <c r="A3" s="514" t="s">
        <v>218</v>
      </c>
      <c r="B3" s="51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7">
      <c r="A4" s="515" t="s">
        <v>219</v>
      </c>
      <c r="B4" s="5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7">
      <c r="A5" s="123" t="s">
        <v>220</v>
      </c>
      <c r="B5" s="124">
        <v>2022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7">
      <c r="A6" s="123" t="s">
        <v>221</v>
      </c>
      <c r="B6" s="125">
        <v>9.9599999999999994E-2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7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7" ht="39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7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7">
      <c r="A10" s="517" t="s">
        <v>115</v>
      </c>
      <c r="B10" s="126">
        <v>0</v>
      </c>
      <c r="C10" s="127">
        <v>1</v>
      </c>
      <c r="D10" s="127">
        <v>2</v>
      </c>
      <c r="E10" s="127">
        <v>3</v>
      </c>
      <c r="F10" s="127">
        <v>4</v>
      </c>
      <c r="G10" s="127">
        <v>5</v>
      </c>
      <c r="H10" s="127">
        <v>6</v>
      </c>
      <c r="I10" s="127">
        <v>7</v>
      </c>
      <c r="J10" s="127">
        <v>8</v>
      </c>
      <c r="K10" s="127">
        <v>9</v>
      </c>
      <c r="L10" s="127">
        <v>10</v>
      </c>
      <c r="M10" s="127">
        <v>11</v>
      </c>
      <c r="N10" s="127">
        <v>12</v>
      </c>
      <c r="O10" s="127">
        <v>13</v>
      </c>
      <c r="P10" s="127">
        <v>14</v>
      </c>
      <c r="Q10" s="127">
        <v>15</v>
      </c>
      <c r="R10" s="127">
        <v>16</v>
      </c>
      <c r="S10" s="127">
        <v>17</v>
      </c>
      <c r="T10" s="127">
        <v>18</v>
      </c>
      <c r="U10" s="127">
        <v>19</v>
      </c>
      <c r="V10" s="127">
        <v>20</v>
      </c>
      <c r="W10" s="127">
        <v>21</v>
      </c>
      <c r="X10" s="127">
        <v>22</v>
      </c>
      <c r="Y10" s="127">
        <v>23</v>
      </c>
      <c r="Z10" s="127">
        <v>24</v>
      </c>
      <c r="AA10" s="127">
        <v>25</v>
      </c>
    </row>
    <row r="11" spans="1:27">
      <c r="A11" s="518"/>
      <c r="B11" s="128">
        <f>B5</f>
        <v>2022</v>
      </c>
      <c r="C11" s="128">
        <f>B11+1</f>
        <v>2023</v>
      </c>
      <c r="D11" s="128">
        <f t="shared" ref="D11:AA11" si="0">C11+1</f>
        <v>2024</v>
      </c>
      <c r="E11" s="128">
        <f t="shared" si="0"/>
        <v>2025</v>
      </c>
      <c r="F11" s="128">
        <f t="shared" si="0"/>
        <v>2026</v>
      </c>
      <c r="G11" s="128">
        <f t="shared" si="0"/>
        <v>2027</v>
      </c>
      <c r="H11" s="128">
        <f t="shared" si="0"/>
        <v>2028</v>
      </c>
      <c r="I11" s="128">
        <f t="shared" si="0"/>
        <v>2029</v>
      </c>
      <c r="J11" s="128">
        <f t="shared" si="0"/>
        <v>2030</v>
      </c>
      <c r="K11" s="128">
        <f t="shared" si="0"/>
        <v>2031</v>
      </c>
      <c r="L11" s="128">
        <f t="shared" si="0"/>
        <v>2032</v>
      </c>
      <c r="M11" s="128">
        <f t="shared" si="0"/>
        <v>2033</v>
      </c>
      <c r="N11" s="128">
        <f t="shared" si="0"/>
        <v>2034</v>
      </c>
      <c r="O11" s="128">
        <f t="shared" si="0"/>
        <v>2035</v>
      </c>
      <c r="P11" s="128">
        <f t="shared" si="0"/>
        <v>2036</v>
      </c>
      <c r="Q11" s="128">
        <f t="shared" si="0"/>
        <v>2037</v>
      </c>
      <c r="R11" s="128">
        <f t="shared" si="0"/>
        <v>2038</v>
      </c>
      <c r="S11" s="128">
        <f t="shared" si="0"/>
        <v>2039</v>
      </c>
      <c r="T11" s="128">
        <f t="shared" si="0"/>
        <v>2040</v>
      </c>
      <c r="U11" s="128">
        <f t="shared" si="0"/>
        <v>2041</v>
      </c>
      <c r="V11" s="128">
        <f t="shared" si="0"/>
        <v>2042</v>
      </c>
      <c r="W11" s="128">
        <f t="shared" si="0"/>
        <v>2043</v>
      </c>
      <c r="X11" s="128">
        <f t="shared" si="0"/>
        <v>2044</v>
      </c>
      <c r="Y11" s="128">
        <f t="shared" si="0"/>
        <v>2045</v>
      </c>
      <c r="Z11" s="128">
        <f t="shared" si="0"/>
        <v>2046</v>
      </c>
      <c r="AA11" s="128">
        <f t="shared" si="0"/>
        <v>2047</v>
      </c>
    </row>
    <row r="12" spans="1:27" ht="16">
      <c r="A12" s="129" t="s">
        <v>234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>
      <c r="A13" s="130" t="s">
        <v>222</v>
      </c>
      <c r="B13" s="131">
        <f>'Fluxo de Caixa'!C11</f>
        <v>-38046948.551433809</v>
      </c>
      <c r="C13" s="131">
        <f>'Fluxo de Caixa'!D11</f>
        <v>6982984.8404388586</v>
      </c>
      <c r="D13" s="131">
        <f>'Fluxo de Caixa'!E11</f>
        <v>5544655.127604343</v>
      </c>
      <c r="E13" s="131">
        <f>'Fluxo de Caixa'!F11</f>
        <v>5903430.8370386418</v>
      </c>
      <c r="F13" s="131">
        <f>'Fluxo de Caixa'!G11</f>
        <v>6262334.2786452612</v>
      </c>
      <c r="G13" s="131">
        <f>'Fluxo de Caixa'!H11</f>
        <v>6674181.2085756175</v>
      </c>
      <c r="H13" s="131">
        <f>'Fluxo de Caixa'!I11</f>
        <v>7106944.0814755689</v>
      </c>
      <c r="I13" s="131">
        <f>'Fluxo de Caixa'!J11</f>
        <v>7582212.2092251852</v>
      </c>
      <c r="J13" s="131">
        <f>'Fluxo de Caixa'!K11</f>
        <v>8058233.1663489519</v>
      </c>
      <c r="K13" s="131">
        <f>'Fluxo de Caixa'!L11</f>
        <v>8615926.6560548469</v>
      </c>
      <c r="L13" s="131">
        <f>'Fluxo de Caixa'!M11</f>
        <v>9040666.531300433</v>
      </c>
      <c r="M13" s="131">
        <f>'Fluxo de Caixa'!N11</f>
        <v>1972883.2637040028</v>
      </c>
      <c r="N13" s="131">
        <f>'Fluxo de Caixa'!O11</f>
        <v>9953511.6363996733</v>
      </c>
      <c r="O13" s="131">
        <f>'Fluxo de Caixa'!P11</f>
        <v>10661947.291549709</v>
      </c>
      <c r="P13" s="131">
        <f>'Fluxo de Caixa'!Q11</f>
        <v>11421508.104686514</v>
      </c>
      <c r="Q13" s="131">
        <f>'Fluxo de Caixa'!R11</f>
        <v>12235799.966385361</v>
      </c>
      <c r="R13" s="131">
        <f>'Fluxo de Caixa'!S11</f>
        <v>13108698.189904664</v>
      </c>
      <c r="S13" s="131">
        <f>'Fluxo de Caixa'!T11</f>
        <v>14044347.663198594</v>
      </c>
      <c r="T13" s="131">
        <f>'Fluxo de Caixa'!U11</f>
        <v>15047167.826634537</v>
      </c>
      <c r="U13" s="131">
        <f>'Fluxo de Caixa'!V11</f>
        <v>16121891.903676964</v>
      </c>
      <c r="V13" s="131">
        <f>'Fluxo de Caixa'!W11</f>
        <v>17273597.087657437</v>
      </c>
      <c r="W13" s="131">
        <f>'Fluxo de Caixa'!X11</f>
        <v>18326775.069488607</v>
      </c>
      <c r="X13" s="131">
        <f>'Fluxo de Caixa'!Y11</f>
        <v>19649042.578587018</v>
      </c>
      <c r="Y13" s="131">
        <f>'Fluxo de Caixa'!Z11</f>
        <v>21065673.853061918</v>
      </c>
      <c r="Z13" s="131">
        <f>'Fluxo de Caixa'!AA11</f>
        <v>22583303.948351949</v>
      </c>
      <c r="AA13" s="131">
        <f>'Fluxo de Caixa'!AB11</f>
        <v>35082507.710395485</v>
      </c>
    </row>
    <row r="14" spans="1:27">
      <c r="A14" s="130" t="s">
        <v>223</v>
      </c>
      <c r="B14" s="131">
        <f>'Fluxo de Caixa'!C12</f>
        <v>-38046948.551433809</v>
      </c>
      <c r="C14" s="131">
        <f>'Fluxo de Caixa'!D12</f>
        <v>-31063963.710994951</v>
      </c>
      <c r="D14" s="131">
        <f>'Fluxo de Caixa'!E12</f>
        <v>-25519308.583390608</v>
      </c>
      <c r="E14" s="131">
        <f>'Fluxo de Caixa'!F12</f>
        <v>-19615877.746351965</v>
      </c>
      <c r="F14" s="131">
        <f>'Fluxo de Caixa'!G12</f>
        <v>-13353543.467706703</v>
      </c>
      <c r="G14" s="131">
        <f>'Fluxo de Caixa'!H12</f>
        <v>-6679362.2591310851</v>
      </c>
      <c r="H14" s="131">
        <f>'Fluxo de Caixa'!I12</f>
        <v>427581.82234448381</v>
      </c>
      <c r="I14" s="131">
        <f>'Fluxo de Caixa'!J12</f>
        <v>8009794.031569669</v>
      </c>
      <c r="J14" s="131">
        <f>'Fluxo de Caixa'!K12</f>
        <v>16068027.19791862</v>
      </c>
      <c r="K14" s="131">
        <f>'Fluxo de Caixa'!L12</f>
        <v>24683953.853973467</v>
      </c>
      <c r="L14" s="131">
        <f>'Fluxo de Caixa'!M12</f>
        <v>33724620.385273904</v>
      </c>
      <c r="M14" s="131">
        <f>'Fluxo de Caixa'!N12</f>
        <v>35697503.648977906</v>
      </c>
      <c r="N14" s="131">
        <f>'Fluxo de Caixa'!O12</f>
        <v>45651015.285377577</v>
      </c>
      <c r="O14" s="131">
        <f>'Fluxo de Caixa'!P12</f>
        <v>56312962.576927289</v>
      </c>
      <c r="P14" s="131">
        <f>'Fluxo de Caixa'!Q12</f>
        <v>67734470.681613803</v>
      </c>
      <c r="Q14" s="131">
        <f>'Fluxo de Caixa'!R12</f>
        <v>79970270.647999167</v>
      </c>
      <c r="R14" s="131">
        <f>'Fluxo de Caixa'!S12</f>
        <v>93078968.837903827</v>
      </c>
      <c r="S14" s="131">
        <f>'Fluxo de Caixa'!T12</f>
        <v>107123316.50110242</v>
      </c>
      <c r="T14" s="131">
        <f>'Fluxo de Caixa'!U12</f>
        <v>122170484.32773696</v>
      </c>
      <c r="U14" s="131">
        <f>'Fluxo de Caixa'!V12</f>
        <v>138292376.23141393</v>
      </c>
      <c r="V14" s="131">
        <f>'Fluxo de Caixa'!W12</f>
        <v>155565973.31907135</v>
      </c>
      <c r="W14" s="131">
        <f>'Fluxo de Caixa'!X12</f>
        <v>173892748.38855997</v>
      </c>
      <c r="X14" s="131">
        <f>'Fluxo de Caixa'!Y12</f>
        <v>193541790.96714699</v>
      </c>
      <c r="Y14" s="131">
        <f>'Fluxo de Caixa'!Z12</f>
        <v>214607464.82020891</v>
      </c>
      <c r="Z14" s="131">
        <f>'Fluxo de Caixa'!AA12</f>
        <v>237190768.76856086</v>
      </c>
      <c r="AA14" s="131">
        <f>'Fluxo de Caixa'!AB12</f>
        <v>272273276.47895634</v>
      </c>
    </row>
    <row r="15" spans="1:27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22"/>
      <c r="N15" s="122"/>
      <c r="O15" s="122"/>
      <c r="P15" s="122"/>
      <c r="Q15" s="122"/>
      <c r="R15" s="122"/>
      <c r="S15" s="122"/>
      <c r="T15" s="122"/>
      <c r="U15" s="122"/>
      <c r="V15" s="122"/>
    </row>
    <row r="16" spans="1:27">
      <c r="A16" s="133" t="s">
        <v>224</v>
      </c>
      <c r="B16" s="134" t="s">
        <v>225</v>
      </c>
      <c r="C16" s="134" t="s">
        <v>226</v>
      </c>
      <c r="D16" s="135" t="s">
        <v>227</v>
      </c>
      <c r="E16" s="136" t="str">
        <f t="shared" ref="E16:F21" si="1">B16</f>
        <v>TIR</v>
      </c>
      <c r="F16" s="136" t="str">
        <f t="shared" si="1"/>
        <v>VPL</v>
      </c>
      <c r="G16" s="137" t="s">
        <v>228</v>
      </c>
      <c r="H16" s="137"/>
      <c r="I16" s="132"/>
      <c r="J16" s="132"/>
      <c r="K16" s="132"/>
      <c r="L16" s="132"/>
      <c r="M16" s="132"/>
      <c r="N16" s="132"/>
      <c r="O16" s="132"/>
      <c r="P16" s="132"/>
      <c r="Q16" s="122"/>
      <c r="R16" s="122"/>
      <c r="S16" s="122"/>
      <c r="T16" s="122"/>
      <c r="U16" s="122"/>
      <c r="V16" s="122"/>
    </row>
    <row r="17" spans="1:22">
      <c r="A17" s="133" t="s">
        <v>229</v>
      </c>
      <c r="B17" s="138">
        <f>IRR(B13:AA13)</f>
        <v>0.19514592884016002</v>
      </c>
      <c r="C17" s="139">
        <f>NPV($B$6,B13:AA13)</f>
        <v>40089728.233724624</v>
      </c>
      <c r="D17" s="140">
        <v>25</v>
      </c>
      <c r="E17" s="141">
        <f t="shared" si="1"/>
        <v>0.19514592884016002</v>
      </c>
      <c r="F17" s="142">
        <f t="shared" si="1"/>
        <v>40089728.233724624</v>
      </c>
      <c r="G17" s="143">
        <f>$B$6</f>
        <v>9.9599999999999994E-2</v>
      </c>
      <c r="H17" s="137"/>
      <c r="I17" s="132"/>
      <c r="J17" s="132"/>
      <c r="K17" s="132"/>
      <c r="L17" s="132"/>
      <c r="M17" s="132"/>
      <c r="N17" s="132"/>
      <c r="O17" s="132"/>
      <c r="P17" s="132"/>
      <c r="Q17" s="122"/>
      <c r="R17" s="122"/>
      <c r="S17" s="122"/>
      <c r="T17" s="122"/>
      <c r="U17" s="122"/>
      <c r="V17" s="122"/>
    </row>
    <row r="18" spans="1:22">
      <c r="A18" s="133" t="s">
        <v>230</v>
      </c>
      <c r="B18" s="138">
        <f>IRR(B13:V13)</f>
        <v>0.18603945473150474</v>
      </c>
      <c r="C18" s="139">
        <f>NPV($B$6,B13:V13)</f>
        <v>28375045.400905523</v>
      </c>
      <c r="D18" s="140">
        <v>20</v>
      </c>
      <c r="E18" s="152">
        <f t="shared" si="1"/>
        <v>0.18603945473150474</v>
      </c>
      <c r="F18" s="153">
        <f t="shared" si="1"/>
        <v>28375045.400905523</v>
      </c>
      <c r="G18" s="143">
        <f>$B$6</f>
        <v>9.9599999999999994E-2</v>
      </c>
      <c r="H18" s="144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</row>
    <row r="19" spans="1:22">
      <c r="A19" s="133" t="s">
        <v>231</v>
      </c>
      <c r="B19" s="138">
        <f>IRR(B13:Q13)</f>
        <v>0.16627489698461817</v>
      </c>
      <c r="C19" s="139">
        <f>NPV($B$6,B13:Q13)</f>
        <v>15979492.067674059</v>
      </c>
      <c r="D19" s="140">
        <v>15</v>
      </c>
      <c r="E19" s="152">
        <f t="shared" si="1"/>
        <v>0.16627489698461817</v>
      </c>
      <c r="F19" s="153">
        <f t="shared" si="1"/>
        <v>15979492.067674059</v>
      </c>
      <c r="G19" s="143">
        <f>$B$6</f>
        <v>9.9599999999999994E-2</v>
      </c>
      <c r="H19" s="145"/>
      <c r="I19" s="146"/>
      <c r="J19" s="146"/>
      <c r="K19" s="146"/>
      <c r="L19" s="146"/>
      <c r="M19" s="146"/>
      <c r="N19" s="146"/>
      <c r="O19" s="146"/>
      <c r="P19" s="146"/>
      <c r="Q19" s="146"/>
      <c r="R19" s="122"/>
      <c r="S19" s="122"/>
      <c r="T19" s="122"/>
      <c r="U19" s="122"/>
      <c r="V19" s="122"/>
    </row>
    <row r="20" spans="1:22">
      <c r="A20" s="133" t="s">
        <v>232</v>
      </c>
      <c r="B20" s="138">
        <f>IRR(B13:L13)</f>
        <v>0.12524413089559916</v>
      </c>
      <c r="C20" s="139">
        <f>NPV($B$6,B13:L13)</f>
        <v>4201739.3903561188</v>
      </c>
      <c r="D20" s="140">
        <v>10</v>
      </c>
      <c r="E20" s="152">
        <f t="shared" si="1"/>
        <v>0.12524413089559916</v>
      </c>
      <c r="F20" s="153">
        <f t="shared" si="1"/>
        <v>4201739.3903561188</v>
      </c>
      <c r="G20" s="143">
        <f>$B$6</f>
        <v>9.9599999999999994E-2</v>
      </c>
      <c r="H20" s="144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1:22">
      <c r="A21" s="133" t="s">
        <v>233</v>
      </c>
      <c r="B21" s="138">
        <f>IRR(B13:G13)</f>
        <v>-6.0951400400063971E-2</v>
      </c>
      <c r="C21" s="139">
        <f>NPV($B$6,B13:G13)</f>
        <v>-12946007.645907072</v>
      </c>
      <c r="D21" s="140">
        <v>5</v>
      </c>
      <c r="E21" s="152">
        <f t="shared" si="1"/>
        <v>-6.0951400400063971E-2</v>
      </c>
      <c r="F21" s="153">
        <f t="shared" si="1"/>
        <v>-12946007.645907072</v>
      </c>
      <c r="G21" s="143">
        <f>$B$6</f>
        <v>9.9599999999999994E-2</v>
      </c>
      <c r="H21" s="144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22">
      <c r="A22" s="146"/>
      <c r="B22" s="146"/>
      <c r="C22" s="146"/>
      <c r="D22" s="146"/>
      <c r="E22" s="147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22"/>
      <c r="U22" s="122"/>
      <c r="V22" s="122"/>
    </row>
    <row r="23" spans="1:22" ht="14.25" customHeight="1">
      <c r="A23" s="122"/>
      <c r="B23" s="148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2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</row>
    <row r="25" spans="1:22">
      <c r="A25" s="122"/>
      <c r="B25" s="122"/>
      <c r="C25" s="122"/>
      <c r="D25" s="512"/>
      <c r="E25" s="512"/>
      <c r="F25" s="512"/>
      <c r="G25" s="512"/>
      <c r="H25" s="51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22">
      <c r="A26" s="122"/>
      <c r="B26" s="122"/>
      <c r="C26" s="122"/>
      <c r="D26" s="122"/>
      <c r="E26" s="150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</row>
    <row r="27" spans="1:22">
      <c r="A27" s="122"/>
      <c r="B27" s="122"/>
      <c r="C27" s="122"/>
      <c r="D27" s="122"/>
      <c r="E27" s="150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22">
      <c r="A28" s="122"/>
      <c r="B28" s="122"/>
      <c r="C28" s="122"/>
      <c r="D28" s="122"/>
      <c r="E28" s="149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</row>
    <row r="29" spans="1:22">
      <c r="A29" s="122"/>
      <c r="B29" s="122"/>
      <c r="C29" s="122"/>
      <c r="D29" s="122"/>
      <c r="E29" s="151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</row>
    <row r="30" spans="1:22">
      <c r="A30" s="122"/>
      <c r="B30" s="122"/>
      <c r="C30" s="122"/>
      <c r="D30" s="122"/>
      <c r="E30" s="149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</row>
    <row r="31" spans="1:2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</row>
  </sheetData>
  <mergeCells count="5">
    <mergeCell ref="D25:H25"/>
    <mergeCell ref="A1:V1"/>
    <mergeCell ref="A3:B3"/>
    <mergeCell ref="A4:B4"/>
    <mergeCell ref="A10:A11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7F4A-CC0A-684C-A280-3B714434032E}">
  <dimension ref="A1"/>
  <sheetViews>
    <sheetView workbookViewId="0"/>
  </sheetViews>
  <sheetFormatPr baseColWidth="10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Invest. em Pre e Implantação</vt:lpstr>
      <vt:lpstr>Reinvestimento</vt:lpstr>
      <vt:lpstr>Encerramento e Monitoramento</vt:lpstr>
      <vt:lpstr>Gravimetria</vt:lpstr>
      <vt:lpstr>Receitas</vt:lpstr>
      <vt:lpstr>Pessoal</vt:lpstr>
      <vt:lpstr>Encargos sociais</vt:lpstr>
      <vt:lpstr>Custos de Operação</vt:lpstr>
      <vt:lpstr>Impostos</vt:lpstr>
      <vt:lpstr>Depreciação</vt:lpstr>
      <vt:lpstr>Fin. BNB</vt:lpstr>
      <vt:lpstr>DRE</vt:lpstr>
      <vt:lpstr>Capital de Giro</vt:lpstr>
      <vt:lpstr>Fluxo de Caixa</vt:lpstr>
      <vt:lpstr>Custo de Capital</vt:lpstr>
      <vt:lpstr>Indicadores de rentabilidade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Pedreira Gonzalez</dc:creator>
  <cp:lastModifiedBy>Microsoft Office User</cp:lastModifiedBy>
  <dcterms:created xsi:type="dcterms:W3CDTF">2018-11-12T14:06:52Z</dcterms:created>
  <dcterms:modified xsi:type="dcterms:W3CDTF">2022-05-30T10:20:49Z</dcterms:modified>
</cp:coreProperties>
</file>